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NAAC\Faculty (5 yrs.)\"/>
    </mc:Choice>
  </mc:AlternateContent>
  <xr:revisionPtr revIDLastSave="0" documentId="13_ncr:1_{C70F63F2-2064-44CF-9277-3903428EAA4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024-25" sheetId="8" r:id="rId1"/>
    <sheet name="2023-24" sheetId="6" r:id="rId2"/>
    <sheet name="2022-23" sheetId="5" r:id="rId3"/>
    <sheet name="2021-22" sheetId="4" r:id="rId4"/>
    <sheet name="2020-2021" sheetId="3" r:id="rId5"/>
    <sheet name="2019-2020" sheetId="2" r:id="rId6"/>
  </sheets>
  <definedNames>
    <definedName name="_xlnm._FilterDatabase" localSheetId="5" hidden="1">'2019-2020'!$A$2:$W$2</definedName>
    <definedName name="_xlnm._FilterDatabase" localSheetId="4" hidden="1">'2020-2021'!$A$2:$W$39</definedName>
    <definedName name="_xlnm._FilterDatabase" localSheetId="3" hidden="1">'2021-22'!$A$2:$W$38</definedName>
    <definedName name="_xlnm._FilterDatabase" localSheetId="2" hidden="1">'2022-23'!$A$2:$W$37</definedName>
    <definedName name="_xlnm._FilterDatabase" localSheetId="1" hidden="1">'2023-24'!$A$2:$X$43</definedName>
    <definedName name="_xlnm._FilterDatabase" localSheetId="0" hidden="1">'2024-25'!$A$1:$W$47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7" i="8" l="1"/>
  <c r="U46" i="8"/>
  <c r="U45" i="8"/>
  <c r="U44" i="8"/>
  <c r="U43" i="8"/>
  <c r="U42" i="8"/>
  <c r="U41" i="8"/>
  <c r="U40" i="8"/>
  <c r="U39" i="8"/>
  <c r="U38" i="8"/>
  <c r="U37" i="8"/>
  <c r="U36" i="8"/>
  <c r="U35" i="8"/>
  <c r="U34" i="8"/>
  <c r="U33" i="8"/>
  <c r="U32" i="8"/>
  <c r="U31" i="8"/>
  <c r="U30" i="8"/>
  <c r="U29" i="8"/>
  <c r="U28" i="8"/>
  <c r="U27" i="8"/>
  <c r="U26" i="8"/>
  <c r="U25" i="8"/>
  <c r="U24" i="8"/>
  <c r="U23" i="8"/>
  <c r="U22" i="8"/>
  <c r="U21" i="8"/>
  <c r="U20" i="8"/>
  <c r="U19" i="8"/>
  <c r="U18" i="8"/>
  <c r="U17" i="8"/>
  <c r="U16" i="8"/>
  <c r="U15" i="8"/>
  <c r="U14" i="8"/>
  <c r="U13" i="8"/>
  <c r="U12" i="8"/>
  <c r="U11" i="8"/>
  <c r="U10" i="8"/>
  <c r="U9" i="8"/>
  <c r="U8" i="8"/>
  <c r="U7" i="8"/>
  <c r="U6" i="8"/>
  <c r="U5" i="8"/>
  <c r="U4" i="8"/>
  <c r="V43" i="6"/>
  <c r="V42" i="6"/>
  <c r="V41" i="6"/>
  <c r="V40" i="6"/>
  <c r="V39" i="6"/>
  <c r="V38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V4" i="6"/>
  <c r="V3" i="6"/>
  <c r="V30" i="5"/>
  <c r="U30" i="5"/>
  <c r="V29" i="4"/>
  <c r="V28" i="4"/>
  <c r="U29" i="4"/>
  <c r="U28" i="4"/>
  <c r="V29" i="5"/>
  <c r="V28" i="5"/>
  <c r="U29" i="5"/>
  <c r="U28" i="5"/>
  <c r="U37" i="5" l="1"/>
  <c r="V36" i="5"/>
  <c r="U36" i="5"/>
  <c r="V35" i="5"/>
  <c r="U35" i="5"/>
  <c r="V34" i="5"/>
  <c r="U34" i="5"/>
  <c r="V33" i="5"/>
  <c r="U33" i="5"/>
  <c r="V32" i="5"/>
  <c r="U32" i="5"/>
  <c r="V31" i="5"/>
  <c r="U31" i="5"/>
  <c r="V27" i="5"/>
  <c r="U27" i="5"/>
  <c r="U26" i="5"/>
  <c r="V25" i="5"/>
  <c r="U25" i="5"/>
  <c r="V24" i="5"/>
  <c r="U24" i="5"/>
  <c r="V23" i="5"/>
  <c r="U23" i="5"/>
  <c r="V22" i="5"/>
  <c r="U22" i="5"/>
  <c r="V21" i="5"/>
  <c r="U21" i="5"/>
  <c r="V20" i="5"/>
  <c r="U20" i="5"/>
  <c r="V19" i="5"/>
  <c r="U19" i="5"/>
  <c r="V18" i="5"/>
  <c r="U18" i="5"/>
  <c r="V17" i="5"/>
  <c r="U17" i="5"/>
  <c r="V16" i="5"/>
  <c r="U16" i="5"/>
  <c r="U15" i="5"/>
  <c r="V14" i="5"/>
  <c r="U14" i="5"/>
  <c r="V13" i="5"/>
  <c r="U13" i="5"/>
  <c r="V12" i="5"/>
  <c r="U12" i="5"/>
  <c r="V11" i="5"/>
  <c r="U11" i="5"/>
  <c r="V10" i="5"/>
  <c r="U10" i="5"/>
  <c r="V9" i="5"/>
  <c r="U9" i="5"/>
  <c r="V8" i="5"/>
  <c r="U8" i="5"/>
  <c r="V7" i="5"/>
  <c r="U7" i="5"/>
  <c r="V6" i="5"/>
  <c r="U6" i="5"/>
  <c r="V5" i="5"/>
  <c r="U5" i="5"/>
  <c r="V4" i="5"/>
  <c r="U4" i="5"/>
  <c r="U3" i="5"/>
  <c r="V3" i="5" s="1"/>
  <c r="U38" i="4"/>
  <c r="U37" i="4"/>
  <c r="V36" i="4"/>
  <c r="U36" i="4"/>
  <c r="V35" i="4"/>
  <c r="U35" i="4"/>
  <c r="V34" i="4"/>
  <c r="U34" i="4"/>
  <c r="V33" i="4"/>
  <c r="U33" i="4"/>
  <c r="V32" i="4"/>
  <c r="U32" i="4"/>
  <c r="V31" i="4"/>
  <c r="U31" i="4"/>
  <c r="V30" i="4"/>
  <c r="U30" i="4"/>
  <c r="U27" i="4"/>
  <c r="U26" i="4"/>
  <c r="U25" i="4"/>
  <c r="V24" i="4"/>
  <c r="U24" i="4"/>
  <c r="V23" i="4"/>
  <c r="U23" i="4"/>
  <c r="V22" i="4"/>
  <c r="U22" i="4"/>
  <c r="V21" i="4"/>
  <c r="U21" i="4"/>
  <c r="V20" i="4"/>
  <c r="U20" i="4"/>
  <c r="V19" i="4"/>
  <c r="U19" i="4"/>
  <c r="V18" i="4"/>
  <c r="U18" i="4"/>
  <c r="V17" i="4"/>
  <c r="U17" i="4"/>
  <c r="V16" i="4"/>
  <c r="U16" i="4"/>
  <c r="V15" i="4"/>
  <c r="U15" i="4"/>
  <c r="V14" i="4"/>
  <c r="U14" i="4"/>
  <c r="V13" i="4"/>
  <c r="U13" i="4"/>
  <c r="V12" i="4"/>
  <c r="U12" i="4"/>
  <c r="V11" i="4"/>
  <c r="U11" i="4"/>
  <c r="V10" i="4"/>
  <c r="U10" i="4"/>
  <c r="V9" i="4"/>
  <c r="U9" i="4"/>
  <c r="U8" i="4"/>
  <c r="V7" i="4"/>
  <c r="U7" i="4"/>
  <c r="V6" i="4"/>
  <c r="U6" i="4"/>
  <c r="V5" i="4"/>
  <c r="U5" i="4"/>
  <c r="V4" i="4"/>
  <c r="U4" i="4"/>
  <c r="U3" i="4"/>
  <c r="V3" i="4" s="1"/>
  <c r="U39" i="3"/>
  <c r="U38" i="3"/>
  <c r="U37" i="3"/>
  <c r="V36" i="3"/>
  <c r="U36" i="3"/>
  <c r="V35" i="3"/>
  <c r="U35" i="3"/>
  <c r="V34" i="3"/>
  <c r="U34" i="3"/>
  <c r="V33" i="3"/>
  <c r="U33" i="3"/>
  <c r="V32" i="3"/>
  <c r="U32" i="3"/>
  <c r="V31" i="3"/>
  <c r="U31" i="3"/>
  <c r="V30" i="3"/>
  <c r="U30" i="3"/>
  <c r="V29" i="3"/>
  <c r="U29" i="3"/>
  <c r="V28" i="3"/>
  <c r="U28" i="3"/>
  <c r="V27" i="3"/>
  <c r="U27" i="3"/>
  <c r="V26" i="3"/>
  <c r="U26" i="3"/>
  <c r="V25" i="3"/>
  <c r="U25" i="3"/>
  <c r="V24" i="3"/>
  <c r="U24" i="3"/>
  <c r="V23" i="3"/>
  <c r="U23" i="3"/>
  <c r="V22" i="3"/>
  <c r="U22" i="3"/>
  <c r="V21" i="3"/>
  <c r="U21" i="3"/>
  <c r="V20" i="3"/>
  <c r="U20" i="3"/>
  <c r="V19" i="3"/>
  <c r="U19" i="3"/>
  <c r="V18" i="3"/>
  <c r="U18" i="3"/>
  <c r="V17" i="3"/>
  <c r="U17" i="3"/>
  <c r="V16" i="3"/>
  <c r="U16" i="3"/>
  <c r="V15" i="3"/>
  <c r="U15" i="3"/>
  <c r="V14" i="3"/>
  <c r="U14" i="3"/>
  <c r="V13" i="3"/>
  <c r="U13" i="3"/>
  <c r="V12" i="3"/>
  <c r="U12" i="3"/>
  <c r="V11" i="3"/>
  <c r="U11" i="3"/>
  <c r="V10" i="3"/>
  <c r="U10" i="3"/>
  <c r="V9" i="3"/>
  <c r="U9" i="3"/>
  <c r="V8" i="3"/>
  <c r="U8" i="3"/>
  <c r="V7" i="3"/>
  <c r="U7" i="3"/>
  <c r="V6" i="3"/>
  <c r="U6" i="3"/>
  <c r="V5" i="3"/>
  <c r="U5" i="3"/>
  <c r="V4" i="3"/>
  <c r="U4" i="3"/>
  <c r="U3" i="3"/>
  <c r="V3" i="3" s="1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U3" i="2"/>
</calcChain>
</file>

<file path=xl/sharedStrings.xml><?xml version="1.0" encoding="utf-8"?>
<sst xmlns="http://schemas.openxmlformats.org/spreadsheetml/2006/main" count="2966" uniqueCount="389">
  <si>
    <t xml:space="preserve">DESIGNATION </t>
  </si>
  <si>
    <t>PAN</t>
  </si>
  <si>
    <t>Gender</t>
  </si>
  <si>
    <t xml:space="preserve">Name of Institute of Highest Qualification </t>
  </si>
  <si>
    <t>Date of Relieving</t>
  </si>
  <si>
    <t>IS THE TEACHER STILL SERVING THE INSTITUTION/IF NOT LAST YEAR OF THE SERVICE OF FACULTY TO THE INSTITUTION</t>
  </si>
  <si>
    <t xml:space="preserve">S.No. </t>
  </si>
  <si>
    <t xml:space="preserve">NAME OF THE FULL-TIME  Teachers </t>
  </si>
  <si>
    <t xml:space="preserve"> Year of Award of Highest Qualification </t>
  </si>
  <si>
    <t xml:space="preserve">Year of Joining </t>
  </si>
  <si>
    <t>Date of Joining (DD-MM-YY)</t>
  </si>
  <si>
    <t xml:space="preserve">Year of Relieving </t>
  </si>
  <si>
    <t xml:space="preserve">Highest Qualification Details </t>
  </si>
  <si>
    <t>Experience at Same institute</t>
  </si>
  <si>
    <t>Area of specialization</t>
  </si>
  <si>
    <t>Date on which Designated as Professor/Associate Professor</t>
  </si>
  <si>
    <t>School Name</t>
  </si>
  <si>
    <t xml:space="preserve">Category of Qualification(PG/PhD) </t>
  </si>
  <si>
    <t>NATURE OF APPOINTMENT VISITING, PERMANENT, ADJUNCT, DISTINGUISHED, EMERITUS)</t>
  </si>
  <si>
    <t>Is Any Industry Experience? (Y/N)</t>
  </si>
  <si>
    <t>TOTAL YEARS OF EXPERIENCE (IIHMR+Previous)</t>
  </si>
  <si>
    <t>Pankaj Gupta</t>
  </si>
  <si>
    <t>Piyush Kant Pandey</t>
  </si>
  <si>
    <t>Prahlad Rai Sodani</t>
  </si>
  <si>
    <t>Anoop Khanna</t>
  </si>
  <si>
    <t>Nutan Prabha Jain</t>
  </si>
  <si>
    <t>Goutam Sadhu</t>
  </si>
  <si>
    <t>Dhirendra Kumar</t>
  </si>
  <si>
    <t>Anuradha Palanichamy</t>
  </si>
  <si>
    <t>Ruchi Sogarwal</t>
  </si>
  <si>
    <t>Lakshmi Subramaniam Ladha</t>
  </si>
  <si>
    <t>Shiv Kumar Tripathi</t>
  </si>
  <si>
    <t>Neetu Purohit</t>
  </si>
  <si>
    <t>Alok Kumar Mathur</t>
  </si>
  <si>
    <t>Jagajeet Prasad Singh</t>
  </si>
  <si>
    <t>Monika Chaudhary</t>
  </si>
  <si>
    <t>Seema Mehta</t>
  </si>
  <si>
    <t>Tanjul Saxena</t>
  </si>
  <si>
    <t>Susmit Jain</t>
  </si>
  <si>
    <t>Sandeep Narula</t>
  </si>
  <si>
    <t>Saurabh Kumar</t>
  </si>
  <si>
    <t>Sandesh Kumar Sharma</t>
  </si>
  <si>
    <t>Ashok Kumar Peepliwal</t>
  </si>
  <si>
    <t>Sameer Phadnis</t>
  </si>
  <si>
    <t>Rahul Ghai</t>
  </si>
  <si>
    <t>Arindam Das</t>
  </si>
  <si>
    <t>Arpita Basak</t>
  </si>
  <si>
    <t>Sheenu Jain</t>
  </si>
  <si>
    <t>Deepti Sharma</t>
  </si>
  <si>
    <t>Prashant Sharma</t>
  </si>
  <si>
    <t>Sunita Nigam</t>
  </si>
  <si>
    <t>Abhishek Dadhich</t>
  </si>
  <si>
    <t>Hemant Kumar Mishra</t>
  </si>
  <si>
    <t>Laxman Swaroop Sharma</t>
  </si>
  <si>
    <t>Rahul Sharma</t>
  </si>
  <si>
    <t>Shyama Prasad Chattopadhyay</t>
  </si>
  <si>
    <t>Veena Nair Sarkar</t>
  </si>
  <si>
    <t>Ratna Verma</t>
  </si>
  <si>
    <t>Sazzad Parwez</t>
  </si>
  <si>
    <t>Piyusha Majumdar</t>
  </si>
  <si>
    <t>Sujata Verma</t>
  </si>
  <si>
    <t>Shweta Aggarwal</t>
  </si>
  <si>
    <t>Rajiv Ranjan</t>
  </si>
  <si>
    <t>Anshuman Sewda</t>
  </si>
  <si>
    <t>Sunil Rajpal</t>
  </si>
  <si>
    <t>Manasee Mishra Panda</t>
  </si>
  <si>
    <t>Abhishek Sharma</t>
  </si>
  <si>
    <t>President</t>
  </si>
  <si>
    <t>Dean - Academics, student Affairs and Proctor</t>
  </si>
  <si>
    <t>Professor</t>
  </si>
  <si>
    <t>Provost and Professor</t>
  </si>
  <si>
    <t>Professor and Dean</t>
  </si>
  <si>
    <t>Associate Professor</t>
  </si>
  <si>
    <t>Assistant Professor</t>
  </si>
  <si>
    <t>IHMR</t>
  </si>
  <si>
    <t>SDS</t>
  </si>
  <si>
    <t>SPM</t>
  </si>
  <si>
    <t>Male</t>
  </si>
  <si>
    <t>Female</t>
  </si>
  <si>
    <t>PHD(COMERCE)</t>
  </si>
  <si>
    <t>PHD(ANALYTICAL CHEMISTRY)</t>
  </si>
  <si>
    <t>PHD (ECONOMICS)</t>
  </si>
  <si>
    <t>PHD(SOCIOLOGY)</t>
  </si>
  <si>
    <t>PhD(PSYCHOLOGY)</t>
  </si>
  <si>
    <t>PHD (POPULATION STUDIES)</t>
  </si>
  <si>
    <t>MD(PSM)</t>
  </si>
  <si>
    <t>Executive MPH-Maxwell School of Citizenship &amp; Public Affairs, Master’s in city planning</t>
  </si>
  <si>
    <t>PHD(SCIENCE)</t>
  </si>
  <si>
    <t>PHD(HEALTH CARE GOVERNANCE)</t>
  </si>
  <si>
    <t>PHD(GENERAL MANAGEMENT)</t>
  </si>
  <si>
    <t>PHD(COMMERCE)</t>
  </si>
  <si>
    <t>PHD(STATISTICS)</t>
  </si>
  <si>
    <t>PHD(INTERNATIONAL TRADE AND FINANCE)</t>
  </si>
  <si>
    <t>PHD(HEALTH CARE MARKETING)</t>
  </si>
  <si>
    <t>PHD(MANAGEMENT STUDIES)</t>
  </si>
  <si>
    <t>PHD(MANAGEMENT)</t>
  </si>
  <si>
    <t>PHD(PHARMACEUTICAL SCIENCE)</t>
  </si>
  <si>
    <t>PHD(HOSPITAL MANAGEMENT)</t>
  </si>
  <si>
    <t>M.PHIL(HISTORY)</t>
  </si>
  <si>
    <t>PHD(POPULATION STUDIES)</t>
  </si>
  <si>
    <t>PHD(NUTRACEUTICAL MANAGEMENT)</t>
  </si>
  <si>
    <t>PHD(MARKETING)</t>
  </si>
  <si>
    <t>PHD(HR)</t>
  </si>
  <si>
    <t>FPM(FINANCE)(PHD)</t>
  </si>
  <si>
    <t>M.SC(BIOMETRICS AND NUTRITIONS)</t>
  </si>
  <si>
    <t>PHD(ANTHROPOLOGY)</t>
  </si>
  <si>
    <t>M.PHIL</t>
  </si>
  <si>
    <t>M.PHARMA</t>
  </si>
  <si>
    <t>MA(ECONOMICS),MBA</t>
  </si>
  <si>
    <t>PGDHM(HEALTH MANAGEMENT)</t>
  </si>
  <si>
    <t>PHD(SOCIAL WORK)</t>
  </si>
  <si>
    <t>PHD(ECONOMICS)</t>
  </si>
  <si>
    <t>PHD(HEALTH INSURANCE)</t>
  </si>
  <si>
    <t>FPM(OB)</t>
  </si>
  <si>
    <t>FPM(PUBLIC POLICY)</t>
  </si>
  <si>
    <t>PHD(EPIDEMIOLOGY)</t>
  </si>
  <si>
    <t>PGDBM</t>
  </si>
  <si>
    <t>PhD</t>
  </si>
  <si>
    <t>MD</t>
  </si>
  <si>
    <t>PG</t>
  </si>
  <si>
    <t>PHD</t>
  </si>
  <si>
    <t>FPM</t>
  </si>
  <si>
    <t>PgDHM</t>
  </si>
  <si>
    <t>LUCKNOW UNIVERSITY</t>
  </si>
  <si>
    <t>PT. RAVI SHANKAR SHUKLA UNIVERSITY, RAIPUR</t>
  </si>
  <si>
    <t>ML SUKHADIA UNIVERSITY, UDAIPUR, RAJASTHAN</t>
  </si>
  <si>
    <t>UNIVERSITY OF RAJASTHAN</t>
  </si>
  <si>
    <t>INSTITUTE OF ADVANCED STUDIES, MEERUT, U.P</t>
  </si>
  <si>
    <t>JAIPUR NATIONAL UNIVERSITY, JAIPUR, RAJASTHAN</t>
  </si>
  <si>
    <t>IIPS, MUMBAI</t>
  </si>
  <si>
    <t>SYRACUSE UNIVERSITY</t>
  </si>
  <si>
    <t>MSU, UDAIPUR</t>
  </si>
  <si>
    <t>NATIONAL LAW UNIVERSITY, JODHPUR</t>
  </si>
  <si>
    <t>MAHATMA GANDHI KESHI VIDYAPITH UNIVERSITY</t>
  </si>
  <si>
    <t>UNIVERSITY OF RAJASTHAN, JAIPUR</t>
  </si>
  <si>
    <t>JIWAJI UNIVERSITY, M.P</t>
  </si>
  <si>
    <t>SVKM'S, NARSEE MONJEE INSTITUTE , MAHARASTRA</t>
  </si>
  <si>
    <t>SURESH GYAN VIHAR UNIVERSITY, JAIPUR</t>
  </si>
  <si>
    <t>NMIMS UNIVERSITY, MUMBAI</t>
  </si>
  <si>
    <t>BARKATULLA UNIVERSITY, MP</t>
  </si>
  <si>
    <t>JNU, NEW DELHI</t>
  </si>
  <si>
    <t>SRTMU, NANDED</t>
  </si>
  <si>
    <t>NIFM, JAIPUR</t>
  </si>
  <si>
    <t>UNIVERSITY OF PUNE, MAHARASTRA</t>
  </si>
  <si>
    <t>RTU, KOTA</t>
  </si>
  <si>
    <t>SAMBALPUR UNIVERSITY, ODISHA</t>
  </si>
  <si>
    <t>VMRFDU, SALEM, TAMIL NADU</t>
  </si>
  <si>
    <t>VISWA-BHARATI, SANTINIKETAN</t>
  </si>
  <si>
    <t>IIHMR JAIPUR</t>
  </si>
  <si>
    <t>JRN RAJASTHAN VIDHYAPEETH, UDAIPR</t>
  </si>
  <si>
    <t>CENTRAL UNIVERSITY, GUJRAT</t>
  </si>
  <si>
    <t>DELHI UNIVERSITY, DELHI</t>
  </si>
  <si>
    <t>MDI GURUGRAM</t>
  </si>
  <si>
    <t>IIM AHMEDABAD</t>
  </si>
  <si>
    <t>UNIVERSITY OF TEXAS SCHOOL OF PUBLIC HEALTH, HOUSTON-U.S.A</t>
  </si>
  <si>
    <t>CENTRAL UNIVERSITY OF GUJRAT</t>
  </si>
  <si>
    <t>UTKAL UNIVERSITY</t>
  </si>
  <si>
    <t>IIMM, BANGALORE</t>
  </si>
  <si>
    <t>FINANCE</t>
  </si>
  <si>
    <t>CHEMISTRY</t>
  </si>
  <si>
    <t>HEALTH ECONOMICS</t>
  </si>
  <si>
    <t>SOCIOLOGY</t>
  </si>
  <si>
    <t>PSYCHOLOGY AND PUBLIC HEALTH</t>
  </si>
  <si>
    <t>HOSPITAL ADMINISTRATION</t>
  </si>
  <si>
    <t>WATER MANAGEMENT</t>
  </si>
  <si>
    <t>POPULATION STUDIES</t>
  </si>
  <si>
    <t>PREVENTIVE AND SOCIAL MEDICINE</t>
  </si>
  <si>
    <t>CITY PLANNING</t>
  </si>
  <si>
    <t>SCIENCE</t>
  </si>
  <si>
    <t>HEALTH CARE INSURANCE</t>
  </si>
  <si>
    <t>GENERAL MANAGEMENT</t>
  </si>
  <si>
    <t>PSYCHOLOGY</t>
  </si>
  <si>
    <t>MANAGEMENT</t>
  </si>
  <si>
    <t>STATISTICS</t>
  </si>
  <si>
    <t>INTERNATIONAL TRADE AND FINANCE</t>
  </si>
  <si>
    <t>HEALTH CARE MARKETING</t>
  </si>
  <si>
    <t>MANAGEMENT STUDIES</t>
  </si>
  <si>
    <t>PHARMACEUTICAL SCIENCE</t>
  </si>
  <si>
    <t>HOSPITAL MANAGEMENT</t>
  </si>
  <si>
    <t>SOCIAL AND PREVENTIVE MEDICINE</t>
  </si>
  <si>
    <t>RURAL</t>
  </si>
  <si>
    <t>NUTRACEUTICAL MANAGEMENT</t>
  </si>
  <si>
    <t>MARKETING</t>
  </si>
  <si>
    <t>HR</t>
  </si>
  <si>
    <t>BIOMETRICS AND NUTRITIONS</t>
  </si>
  <si>
    <t>PHARMACEUTICAL</t>
  </si>
  <si>
    <t>ANTHROPOLOGY</t>
  </si>
  <si>
    <t>CLINICAL RESEARCH</t>
  </si>
  <si>
    <t>ECONOMICS</t>
  </si>
  <si>
    <t>HEALTH MANAGEMENT</t>
  </si>
  <si>
    <t>SOCIAL WORK</t>
  </si>
  <si>
    <t>ORGANIZATION BEHAVIOUR</t>
  </si>
  <si>
    <t>PUBLIC POLICY</t>
  </si>
  <si>
    <t>EPIDEMIOLOGY</t>
  </si>
  <si>
    <t>IT</t>
  </si>
  <si>
    <t>12/02/1990</t>
  </si>
  <si>
    <t>08/04/2019</t>
  </si>
  <si>
    <t>21/05/2012</t>
  </si>
  <si>
    <t>25/01/2016</t>
  </si>
  <si>
    <t>31/07/2017</t>
  </si>
  <si>
    <t>Contract</t>
  </si>
  <si>
    <t>Regular</t>
  </si>
  <si>
    <t>FACULTY DETAILS A.Y 2019-2020</t>
  </si>
  <si>
    <t>Yes</t>
  </si>
  <si>
    <t>No</t>
  </si>
  <si>
    <t>End Date</t>
  </si>
  <si>
    <t>FACULTY DETAILS A.Y 2020-2021</t>
  </si>
  <si>
    <t>ABIPG9143P</t>
  </si>
  <si>
    <t>AEVPP7716H</t>
  </si>
  <si>
    <t>ANPPS7862L</t>
  </si>
  <si>
    <t>AJGPK9105M</t>
  </si>
  <si>
    <t>ADGPJ4230J</t>
  </si>
  <si>
    <t>AMDPS3671G</t>
  </si>
  <si>
    <t>ACBPK6277C</t>
  </si>
  <si>
    <t>ALRPP5930C</t>
  </si>
  <si>
    <t>BIZPS3447K</t>
  </si>
  <si>
    <t>AEVPL1986P</t>
  </si>
  <si>
    <t>BLCPS1417F</t>
  </si>
  <si>
    <t>ATGPR7732R</t>
  </si>
  <si>
    <t>AGIPJ8383R</t>
  </si>
  <si>
    <t>BWOPS9777D</t>
  </si>
  <si>
    <t>CJGPB9031H</t>
  </si>
  <si>
    <t>BMTPS7310B</t>
  </si>
  <si>
    <t>AMSPM6670N</t>
  </si>
  <si>
    <t>BBKPR0554A</t>
  </si>
  <si>
    <t>AHFPV3830M</t>
  </si>
  <si>
    <t>AQLPM6286F</t>
  </si>
  <si>
    <t>ASMPP0100C</t>
  </si>
  <si>
    <t>AKWPR5330G</t>
  </si>
  <si>
    <t>CSDPS0173H</t>
  </si>
  <si>
    <t>AAOPC3126D</t>
  </si>
  <si>
    <t>AFHPG4723Q</t>
  </si>
  <si>
    <t>ADWPD3279R</t>
  </si>
  <si>
    <t>AOKPP8106L</t>
  </si>
  <si>
    <t>CJIPS0532E</t>
  </si>
  <si>
    <t>AESPJ7367P</t>
  </si>
  <si>
    <t>APTPS9337N</t>
  </si>
  <si>
    <t>AHZPM1790P</t>
  </si>
  <si>
    <t>AFEPC2866F</t>
  </si>
  <si>
    <t>BDXPS5304L</t>
  </si>
  <si>
    <t>ABMPM3849E</t>
  </si>
  <si>
    <t>AGSPP2771M</t>
  </si>
  <si>
    <t>CIRPS7683A</t>
  </si>
  <si>
    <t>ACOPT9407C</t>
  </si>
  <si>
    <t>ACQPN7294K</t>
  </si>
  <si>
    <t>AGRPM9295Q</t>
  </si>
  <si>
    <t>AMCPS5218G</t>
  </si>
  <si>
    <t>ANPPP2781H</t>
  </si>
  <si>
    <t>ARUPK5995K</t>
  </si>
  <si>
    <t>BUQPS3146E</t>
  </si>
  <si>
    <t>AOZPD8393Q</t>
  </si>
  <si>
    <t>AEXPA7135H</t>
  </si>
  <si>
    <t>ABLPN3992L</t>
  </si>
  <si>
    <t>Vinod Kumar SV</t>
  </si>
  <si>
    <t>AOQPS9137N</t>
  </si>
  <si>
    <t>SDG-SPH</t>
  </si>
  <si>
    <t>MD (PSM)</t>
  </si>
  <si>
    <t>05/05/2021</t>
  </si>
  <si>
    <t>Mahender Kumar</t>
  </si>
  <si>
    <t>ALHPK2493F</t>
  </si>
  <si>
    <t>MD (Hospital Administration)&amp; DNB</t>
  </si>
  <si>
    <t>AFMC, PUNE &amp; NBE- Delhi</t>
  </si>
  <si>
    <t>18/01/2021</t>
  </si>
  <si>
    <t>Ashish Bandhu</t>
  </si>
  <si>
    <t>AQQPB4094B</t>
  </si>
  <si>
    <t>M.Sc. (Statistics)</t>
  </si>
  <si>
    <t>CENTRAL UNIVERSITY OF BIHAR</t>
  </si>
  <si>
    <t>07/12/2020</t>
  </si>
  <si>
    <t>FACULTY DETAILS A.Y 2021-2022</t>
  </si>
  <si>
    <t>Anupam Mehrotra</t>
  </si>
  <si>
    <t>BEDPM2328R</t>
  </si>
  <si>
    <t>MPH (Epidemiology)</t>
  </si>
  <si>
    <t>MANIPAL UNIVERSITY, MANIPAL</t>
  </si>
  <si>
    <t>Varsha Tanu</t>
  </si>
  <si>
    <t>Kajal Sitlani</t>
  </si>
  <si>
    <t>Kanika Jindal</t>
  </si>
  <si>
    <t>Sudhinder Singh Chowhan</t>
  </si>
  <si>
    <t>Surya Prakash</t>
  </si>
  <si>
    <t>Chirag Bhola</t>
  </si>
  <si>
    <t>Tripti Bisawa</t>
  </si>
  <si>
    <t>BVNPS9186A</t>
  </si>
  <si>
    <t>AUWPJ9533H</t>
  </si>
  <si>
    <t>PhD (Management)</t>
  </si>
  <si>
    <t>PhD (Psychology)</t>
  </si>
  <si>
    <t>DEVI AHILYA UNIVERSITY</t>
  </si>
  <si>
    <t>AJSPT8689H</t>
  </si>
  <si>
    <t>ARHPP4068M</t>
  </si>
  <si>
    <t>AVLPB5491J</t>
  </si>
  <si>
    <t>AEFPC6896P</t>
  </si>
  <si>
    <t>MD (Community Medicine)</t>
  </si>
  <si>
    <t>PhD (Supply Chain)</t>
  </si>
  <si>
    <t>PhD (Geography)</t>
  </si>
  <si>
    <t>MDS UNIVERSITY, AJMER</t>
  </si>
  <si>
    <t>SAURASTRA UNIVERSITY</t>
  </si>
  <si>
    <t>MNIT, JAIPUR</t>
  </si>
  <si>
    <t>Geography</t>
  </si>
  <si>
    <t>Community Medicine</t>
  </si>
  <si>
    <t>Management</t>
  </si>
  <si>
    <t>Supply Chain</t>
  </si>
  <si>
    <t>AJKPB7016Q</t>
  </si>
  <si>
    <t>PhD (Marketing)</t>
  </si>
  <si>
    <t>FACULTY DETAILS A.Y 2022-2023</t>
  </si>
  <si>
    <t>Himadri Sinha</t>
  </si>
  <si>
    <t>AGRPS4530N</t>
  </si>
  <si>
    <t>PHD(Social Science)</t>
  </si>
  <si>
    <t>SOCIAL SCIENCE</t>
  </si>
  <si>
    <t>IIT KANPUR</t>
  </si>
  <si>
    <t>Mamta Chauhan</t>
  </si>
  <si>
    <t>AFEPC4118C</t>
  </si>
  <si>
    <t>FACULTY DETAILS A.Y 2023-2024</t>
  </si>
  <si>
    <t>Aarti Sharma</t>
  </si>
  <si>
    <t>Professor of Practice</t>
  </si>
  <si>
    <t>BLGPS5749L</t>
  </si>
  <si>
    <t>SHARDHA UNIVERSITY</t>
  </si>
  <si>
    <t>Sanjay Gupta</t>
  </si>
  <si>
    <t>AETPG9199K</t>
  </si>
  <si>
    <t>MD(COMMUNITY MEDICINE)</t>
  </si>
  <si>
    <t>COMMUNITY MEDICINE</t>
  </si>
  <si>
    <t xml:space="preserve"> </t>
  </si>
  <si>
    <t>Swapnil Anil Gadhave</t>
  </si>
  <si>
    <t>SDH</t>
  </si>
  <si>
    <t>PHD(RESEARCH METHOD)</t>
  </si>
  <si>
    <t>SYMBIOSIS PUNE</t>
  </si>
  <si>
    <t>RESEARCH METHOD</t>
  </si>
  <si>
    <t>Nupur Srivastava</t>
  </si>
  <si>
    <t>APNPS0050G</t>
  </si>
  <si>
    <t>ABIPT0587A</t>
  </si>
  <si>
    <t>DNB, MD (Hospital Administration)&amp; DNB</t>
  </si>
  <si>
    <t>DNB</t>
  </si>
  <si>
    <t>Phd</t>
  </si>
  <si>
    <t>PHD(MATHEMATICS)</t>
  </si>
  <si>
    <t>MATHEMATICS</t>
  </si>
  <si>
    <t>Rajiv Tewari</t>
  </si>
  <si>
    <t>MA(SOCIAL WORK)</t>
  </si>
  <si>
    <t>Manthan D Janodia</t>
  </si>
  <si>
    <t>Dean &amp; Professor</t>
  </si>
  <si>
    <t>Rajeev Tewari</t>
  </si>
  <si>
    <t>Kunal Rawal</t>
  </si>
  <si>
    <t>Shashank Tripathi</t>
  </si>
  <si>
    <t>Ritu Vashishtha</t>
  </si>
  <si>
    <t>Sarthak Sengupta</t>
  </si>
  <si>
    <t>AFUPJ4551J</t>
  </si>
  <si>
    <t>PHD(INTELLECTUAL PROPERTY RIGHTS)</t>
  </si>
  <si>
    <t>AIJPR2045P</t>
  </si>
  <si>
    <t>AVKPG8975F</t>
  </si>
  <si>
    <t>ATNPT2387F</t>
  </si>
  <si>
    <t>PHD(BIO STATISTICS)</t>
  </si>
  <si>
    <t>AGAPV9080B</t>
  </si>
  <si>
    <t>PHD (MANAGEMENT)</t>
  </si>
  <si>
    <t>GARPS6861L</t>
  </si>
  <si>
    <t>MANIPAL UNIVERSITY</t>
  </si>
  <si>
    <t>PHARMACEUTICAL IPR</t>
  </si>
  <si>
    <t>BANASATHALI VIDYAPEETH</t>
  </si>
  <si>
    <t>UNIVERSITY OF LUCKNOW</t>
  </si>
  <si>
    <t>BIOSTATISTICS</t>
  </si>
  <si>
    <t>AMITY UNIVERSITY, JAIPUR</t>
  </si>
  <si>
    <t>INDIAN INSTITUTE OF INFORMATION TECHNOLOGY, ALLAHABAD</t>
  </si>
  <si>
    <t>SNO</t>
  </si>
  <si>
    <t>Suresh Babu Munuswamy</t>
  </si>
  <si>
    <t>ATKPM3516A</t>
  </si>
  <si>
    <t>PHD(MEDICAL SCIENCE, HEALTH INFORMATICS)</t>
  </si>
  <si>
    <t>TOKYO MEDICAL AND DENTAL UNIVERSITY</t>
  </si>
  <si>
    <t>MEDICAL SCIENCE AND HEALTH INFORMATICS</t>
  </si>
  <si>
    <t>Rajesh Kumar Sinha</t>
  </si>
  <si>
    <t>AXOPS3528E</t>
  </si>
  <si>
    <t>PHD(HEALTH INFORMATICS)</t>
  </si>
  <si>
    <t>MANIPAL ACADEMY OF HIGHER EDUCATION, MANIPAL</t>
  </si>
  <si>
    <t>HEALTH INFORMATICS</t>
  </si>
  <si>
    <t>Akshay Kumar Mishra</t>
  </si>
  <si>
    <t>AMWPM3557A</t>
  </si>
  <si>
    <t>PHD (FINANCE &amp; BANKING)</t>
  </si>
  <si>
    <t>RANCHI UNIVERSITY</t>
  </si>
  <si>
    <t>COMMERCE</t>
  </si>
  <si>
    <t>Vidya Bhushan Tripathi</t>
  </si>
  <si>
    <t>AGNPT9677M</t>
  </si>
  <si>
    <t>PHD(PUBLIC HEALTh)</t>
  </si>
  <si>
    <t>IIHMR UNIVERSITY, JAIPUR</t>
  </si>
  <si>
    <t>PUBLIC HEALTH</t>
  </si>
  <si>
    <t>Sandipta Chakraborty</t>
  </si>
  <si>
    <t>AMNPC2546A</t>
  </si>
  <si>
    <t>WEST BENGAL UNIVERSITY OF HEALTH SCIENCES</t>
  </si>
  <si>
    <t>20-Jul+2023</t>
  </si>
  <si>
    <t>Date of Birth</t>
  </si>
  <si>
    <t>FACULTY DETAILS A.Y 2024-2025 (July 2024- June 2025)</t>
  </si>
  <si>
    <t xml:space="preserve">Category of Qualification (PG/PhD) </t>
  </si>
  <si>
    <t xml:space="preserve">S. No. </t>
  </si>
  <si>
    <t>Name of the full-time teachers</t>
  </si>
  <si>
    <t>Designation</t>
  </si>
  <si>
    <t>IIHMR University, Jaipur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</si>
</sst>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"/>
    <numFmt numFmtId="165" formatCode="[$-409]dd\-mmm\-yy;@"/>
    <numFmt numFmtId="166" formatCode="0.0"/>
    <numFmt numFmtId="167" formatCode="[$-409]d/m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Arial"/>
      <family val="2"/>
    </font>
    <font>
      <sz val="10"/>
      <color rgb="FF000000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0"/>
      <color rgb="FFFF000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15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 wrapText="1"/>
    </xf>
    <xf numFmtId="167" fontId="2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5" fontId="1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7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5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7" fontId="9" fillId="0" borderId="1" xfId="0" quotePrefix="1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15" fontId="9" fillId="4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5" fontId="10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5" fontId="9" fillId="0" borderId="1" xfId="0" applyNumberFormat="1" applyFont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D08F8592-24C1-4C1D-B2BB-C76EEDDE0D3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47DC-F7DB-48B6-8D69-A00B4AC1A2E8}">
  <sheetPr>
    <pageSetUpPr fitToPage="1"/>
  </sheetPr>
  <dimension ref="A1:W52"/>
  <sheetViews>
    <sheetView zoomScale="60" zoomScaleNormal="60" workbookViewId="0">
      <selection activeCell="H3" sqref="H3"/>
    </sheetView>
  </sheetViews>
  <sheetFormatPr defaultColWidth="43.140625" defaultRowHeight="15" x14ac:dyDescent="0.25"/>
  <cols>
    <col min="1" max="1" width="8.7109375" style="32" customWidth="1"/>
    <col min="2" max="2" width="35.42578125" style="31" customWidth="1"/>
    <col min="3" max="3" width="20.140625" style="31" customWidth="1"/>
    <col min="4" max="4" width="12.28515625" style="32" customWidth="1"/>
    <col min="5" max="5" width="16.140625" style="32" bestFit="1" customWidth="1"/>
    <col min="6" max="6" width="12.42578125" style="32" bestFit="1" customWidth="1"/>
    <col min="7" max="7" width="9.7109375" style="32" bestFit="1" customWidth="1"/>
    <col min="8" max="8" width="15.85546875" style="32" customWidth="1"/>
    <col min="9" max="9" width="40.140625" style="32" bestFit="1" customWidth="1"/>
    <col min="10" max="10" width="43.28515625" style="32" bestFit="1" customWidth="1"/>
    <col min="11" max="11" width="37" style="32" bestFit="1" customWidth="1"/>
    <col min="12" max="12" width="15.85546875" style="32" bestFit="1" customWidth="1"/>
    <col min="13" max="13" width="19.42578125" style="32" bestFit="1" customWidth="1"/>
    <col min="14" max="14" width="12.5703125" style="32" bestFit="1" customWidth="1"/>
    <col min="15" max="15" width="9.85546875" style="32" bestFit="1" customWidth="1"/>
    <col min="16" max="17" width="12" style="32" bestFit="1" customWidth="1"/>
    <col min="18" max="18" width="33.7109375" style="32" bestFit="1" customWidth="1"/>
    <col min="19" max="19" width="15.140625" style="32" bestFit="1" customWidth="1"/>
    <col min="20" max="20" width="11.140625" style="32" bestFit="1" customWidth="1"/>
    <col min="21" max="21" width="13.7109375" style="32" bestFit="1" customWidth="1"/>
    <col min="22" max="22" width="20.5703125" style="32" bestFit="1" customWidth="1"/>
    <col min="23" max="23" width="39.42578125" style="32" bestFit="1" customWidth="1"/>
    <col min="24" max="16384" width="43.140625" style="31"/>
  </cols>
  <sheetData>
    <row r="1" spans="1:23" ht="15.75" x14ac:dyDescent="0.25">
      <c r="A1" s="70" t="s">
        <v>388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s="30" customFormat="1" ht="15.75" x14ac:dyDescent="0.25">
      <c r="A2" s="67" t="s">
        <v>383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9"/>
    </row>
    <row r="3" spans="1:23" s="30" customFormat="1" ht="51" x14ac:dyDescent="0.25">
      <c r="A3" s="22" t="s">
        <v>385</v>
      </c>
      <c r="B3" s="22" t="s">
        <v>386</v>
      </c>
      <c r="C3" s="22" t="s">
        <v>387</v>
      </c>
      <c r="D3" s="29" t="s">
        <v>382</v>
      </c>
      <c r="E3" s="22" t="s">
        <v>1</v>
      </c>
      <c r="F3" s="22" t="s">
        <v>16</v>
      </c>
      <c r="G3" s="22" t="s">
        <v>2</v>
      </c>
      <c r="H3" s="29" t="s">
        <v>384</v>
      </c>
      <c r="I3" s="22" t="s">
        <v>12</v>
      </c>
      <c r="J3" s="22" t="s">
        <v>3</v>
      </c>
      <c r="K3" s="22" t="s">
        <v>14</v>
      </c>
      <c r="L3" s="22" t="s">
        <v>8</v>
      </c>
      <c r="M3" s="22" t="s">
        <v>15</v>
      </c>
      <c r="N3" s="33" t="s">
        <v>10</v>
      </c>
      <c r="O3" s="33" t="s">
        <v>9</v>
      </c>
      <c r="P3" s="35" t="s">
        <v>4</v>
      </c>
      <c r="Q3" s="35" t="s">
        <v>11</v>
      </c>
      <c r="R3" s="22" t="s">
        <v>18</v>
      </c>
      <c r="S3" s="22" t="s">
        <v>19</v>
      </c>
      <c r="T3" s="22" t="s">
        <v>205</v>
      </c>
      <c r="U3" s="22" t="s">
        <v>13</v>
      </c>
      <c r="V3" s="33" t="s">
        <v>20</v>
      </c>
      <c r="W3" s="34" t="s">
        <v>5</v>
      </c>
    </row>
    <row r="4" spans="1:23" s="58" customFormat="1" ht="12.75" x14ac:dyDescent="0.25">
      <c r="A4" s="51">
        <v>1</v>
      </c>
      <c r="B4" s="52" t="s">
        <v>23</v>
      </c>
      <c r="C4" s="53" t="s">
        <v>69</v>
      </c>
      <c r="D4" s="54">
        <v>24208</v>
      </c>
      <c r="E4" s="51" t="s">
        <v>209</v>
      </c>
      <c r="F4" s="51" t="s">
        <v>74</v>
      </c>
      <c r="G4" s="51" t="s">
        <v>77</v>
      </c>
      <c r="H4" s="51" t="s">
        <v>117</v>
      </c>
      <c r="I4" s="51" t="s">
        <v>81</v>
      </c>
      <c r="J4" s="51" t="s">
        <v>125</v>
      </c>
      <c r="K4" s="51" t="s">
        <v>160</v>
      </c>
      <c r="L4" s="55">
        <v>35763</v>
      </c>
      <c r="M4" s="55">
        <v>39965</v>
      </c>
      <c r="N4" s="56" t="s">
        <v>195</v>
      </c>
      <c r="O4" s="51">
        <v>1990</v>
      </c>
      <c r="P4" s="56"/>
      <c r="Q4" s="51"/>
      <c r="R4" s="51" t="s">
        <v>201</v>
      </c>
      <c r="S4" s="51" t="s">
        <v>203</v>
      </c>
      <c r="T4" s="55">
        <v>45716</v>
      </c>
      <c r="U4" s="57">
        <f>YEARFRAC(N4,T4)</f>
        <v>35.044444444444444</v>
      </c>
      <c r="V4" s="57">
        <v>36.383333333333333</v>
      </c>
      <c r="W4" s="51" t="s">
        <v>203</v>
      </c>
    </row>
    <row r="5" spans="1:23" s="58" customFormat="1" ht="12.75" x14ac:dyDescent="0.25">
      <c r="A5" s="51">
        <v>2</v>
      </c>
      <c r="B5" s="52" t="s">
        <v>24</v>
      </c>
      <c r="C5" s="53" t="s">
        <v>69</v>
      </c>
      <c r="D5" s="54">
        <v>23942</v>
      </c>
      <c r="E5" s="51" t="s">
        <v>210</v>
      </c>
      <c r="F5" s="51" t="s">
        <v>74</v>
      </c>
      <c r="G5" s="51" t="s">
        <v>77</v>
      </c>
      <c r="H5" s="51" t="s">
        <v>117</v>
      </c>
      <c r="I5" s="51" t="s">
        <v>82</v>
      </c>
      <c r="J5" s="51" t="s">
        <v>126</v>
      </c>
      <c r="K5" s="51" t="s">
        <v>161</v>
      </c>
      <c r="L5" s="55">
        <v>39046</v>
      </c>
      <c r="M5" s="55">
        <v>41821</v>
      </c>
      <c r="N5" s="56">
        <v>35101</v>
      </c>
      <c r="O5" s="51">
        <v>1996</v>
      </c>
      <c r="P5" s="56"/>
      <c r="Q5" s="51"/>
      <c r="R5" s="51" t="s">
        <v>200</v>
      </c>
      <c r="S5" s="51" t="s">
        <v>203</v>
      </c>
      <c r="T5" s="55">
        <v>45716</v>
      </c>
      <c r="U5" s="57">
        <f>YEARFRAC(N5,T5)</f>
        <v>29.06111111111111</v>
      </c>
      <c r="V5" s="57">
        <v>34.200000000000003</v>
      </c>
      <c r="W5" s="51" t="s">
        <v>203</v>
      </c>
    </row>
    <row r="6" spans="1:23" s="58" customFormat="1" ht="12.75" x14ac:dyDescent="0.25">
      <c r="A6" s="51">
        <v>3</v>
      </c>
      <c r="B6" s="52" t="s">
        <v>25</v>
      </c>
      <c r="C6" s="53" t="s">
        <v>69</v>
      </c>
      <c r="D6" s="54">
        <v>21373</v>
      </c>
      <c r="E6" s="51" t="s">
        <v>211</v>
      </c>
      <c r="F6" s="51" t="s">
        <v>255</v>
      </c>
      <c r="G6" s="51" t="s">
        <v>78</v>
      </c>
      <c r="H6" s="51" t="s">
        <v>117</v>
      </c>
      <c r="I6" s="51" t="s">
        <v>83</v>
      </c>
      <c r="J6" s="51" t="s">
        <v>127</v>
      </c>
      <c r="K6" s="51" t="s">
        <v>162</v>
      </c>
      <c r="L6" s="55">
        <v>1986</v>
      </c>
      <c r="M6" s="55">
        <v>41122</v>
      </c>
      <c r="N6" s="56">
        <v>35063</v>
      </c>
      <c r="O6" s="51">
        <v>1995</v>
      </c>
      <c r="P6" s="56"/>
      <c r="Q6" s="51"/>
      <c r="R6" s="51" t="s">
        <v>200</v>
      </c>
      <c r="S6" s="51" t="s">
        <v>203</v>
      </c>
      <c r="T6" s="55">
        <v>45716</v>
      </c>
      <c r="U6" s="57">
        <f>YEARFRAC(N6,T6)</f>
        <v>29.161111111111111</v>
      </c>
      <c r="V6" s="57">
        <v>40.400000000000006</v>
      </c>
      <c r="W6" s="51" t="s">
        <v>203</v>
      </c>
    </row>
    <row r="7" spans="1:23" s="58" customFormat="1" ht="12.75" x14ac:dyDescent="0.25">
      <c r="A7" s="51">
        <v>4</v>
      </c>
      <c r="B7" s="52" t="s">
        <v>26</v>
      </c>
      <c r="C7" s="53" t="s">
        <v>69</v>
      </c>
      <c r="D7" s="54">
        <v>23265</v>
      </c>
      <c r="E7" s="51" t="s">
        <v>212</v>
      </c>
      <c r="F7" s="51" t="s">
        <v>75</v>
      </c>
      <c r="G7" s="51" t="s">
        <v>77</v>
      </c>
      <c r="H7" s="51" t="s">
        <v>117</v>
      </c>
      <c r="I7" s="51" t="s">
        <v>82</v>
      </c>
      <c r="J7" s="51" t="s">
        <v>128</v>
      </c>
      <c r="K7" s="51" t="s">
        <v>164</v>
      </c>
      <c r="L7" s="55">
        <v>41363</v>
      </c>
      <c r="M7" s="55">
        <v>42846</v>
      </c>
      <c r="N7" s="56">
        <v>35704</v>
      </c>
      <c r="O7" s="51">
        <v>1997</v>
      </c>
      <c r="P7" s="56"/>
      <c r="Q7" s="51"/>
      <c r="R7" s="51" t="s">
        <v>200</v>
      </c>
      <c r="S7" s="51" t="s">
        <v>203</v>
      </c>
      <c r="T7" s="55">
        <v>45716</v>
      </c>
      <c r="U7" s="57">
        <f t="shared" ref="U7:U8" si="0">YEARFRAC(N7,T7)</f>
        <v>27.408333333333335</v>
      </c>
      <c r="V7" s="57">
        <v>38.700000000000003</v>
      </c>
      <c r="W7" s="51" t="s">
        <v>203</v>
      </c>
    </row>
    <row r="8" spans="1:23" s="58" customFormat="1" ht="12.75" x14ac:dyDescent="0.25">
      <c r="A8" s="51">
        <v>5</v>
      </c>
      <c r="B8" s="52" t="s">
        <v>27</v>
      </c>
      <c r="C8" s="53" t="s">
        <v>69</v>
      </c>
      <c r="D8" s="54">
        <v>23265</v>
      </c>
      <c r="E8" s="51" t="s">
        <v>213</v>
      </c>
      <c r="F8" s="51" t="s">
        <v>74</v>
      </c>
      <c r="G8" s="51" t="s">
        <v>77</v>
      </c>
      <c r="H8" s="51" t="s">
        <v>117</v>
      </c>
      <c r="I8" s="51" t="s">
        <v>84</v>
      </c>
      <c r="J8" s="51" t="s">
        <v>129</v>
      </c>
      <c r="K8" s="51" t="s">
        <v>165</v>
      </c>
      <c r="L8" s="55">
        <v>34095</v>
      </c>
      <c r="M8" s="55">
        <v>39264</v>
      </c>
      <c r="N8" s="56">
        <v>35062</v>
      </c>
      <c r="O8" s="51">
        <v>1995</v>
      </c>
      <c r="P8" s="56"/>
      <c r="Q8" s="51"/>
      <c r="R8" s="51" t="s">
        <v>200</v>
      </c>
      <c r="S8" s="51" t="s">
        <v>203</v>
      </c>
      <c r="T8" s="55">
        <v>45716</v>
      </c>
      <c r="U8" s="57">
        <f t="shared" si="0"/>
        <v>29.163888888888888</v>
      </c>
      <c r="V8" s="57">
        <v>30.866666666666699</v>
      </c>
      <c r="W8" s="51" t="s">
        <v>203</v>
      </c>
    </row>
    <row r="9" spans="1:23" s="58" customFormat="1" ht="12.75" x14ac:dyDescent="0.25">
      <c r="A9" s="51">
        <v>6</v>
      </c>
      <c r="B9" s="52" t="s">
        <v>279</v>
      </c>
      <c r="C9" s="53" t="s">
        <v>69</v>
      </c>
      <c r="D9" s="54">
        <v>27538</v>
      </c>
      <c r="E9" s="51" t="s">
        <v>299</v>
      </c>
      <c r="F9" s="51" t="s">
        <v>74</v>
      </c>
      <c r="G9" s="51" t="s">
        <v>78</v>
      </c>
      <c r="H9" s="51" t="s">
        <v>117</v>
      </c>
      <c r="I9" s="51" t="s">
        <v>300</v>
      </c>
      <c r="J9" s="51" t="s">
        <v>126</v>
      </c>
      <c r="K9" s="51" t="s">
        <v>182</v>
      </c>
      <c r="L9" s="56">
        <v>41671</v>
      </c>
      <c r="M9" s="51"/>
      <c r="N9" s="56">
        <v>44490</v>
      </c>
      <c r="O9" s="51">
        <v>2021</v>
      </c>
      <c r="P9" s="56"/>
      <c r="Q9" s="51"/>
      <c r="R9" s="51" t="s">
        <v>201</v>
      </c>
      <c r="S9" s="51" t="s">
        <v>204</v>
      </c>
      <c r="T9" s="55">
        <v>45716</v>
      </c>
      <c r="U9" s="57">
        <f>YEARFRAC(N9,T9)</f>
        <v>3.3527777777777779</v>
      </c>
      <c r="V9" s="57">
        <v>24.7</v>
      </c>
      <c r="W9" s="51" t="s">
        <v>203</v>
      </c>
    </row>
    <row r="10" spans="1:23" s="58" customFormat="1" ht="12.75" x14ac:dyDescent="0.25">
      <c r="A10" s="51">
        <v>7</v>
      </c>
      <c r="B10" s="52" t="s">
        <v>258</v>
      </c>
      <c r="C10" s="53" t="s">
        <v>69</v>
      </c>
      <c r="D10" s="54">
        <v>22906</v>
      </c>
      <c r="E10" s="51" t="s">
        <v>259</v>
      </c>
      <c r="F10" s="51" t="s">
        <v>74</v>
      </c>
      <c r="G10" s="51" t="s">
        <v>77</v>
      </c>
      <c r="H10" s="51" t="s">
        <v>328</v>
      </c>
      <c r="I10" s="51" t="s">
        <v>327</v>
      </c>
      <c r="J10" s="51" t="s">
        <v>261</v>
      </c>
      <c r="K10" s="51" t="s">
        <v>163</v>
      </c>
      <c r="L10" s="55">
        <v>35056</v>
      </c>
      <c r="M10" s="51"/>
      <c r="N10" s="56" t="s">
        <v>262</v>
      </c>
      <c r="O10" s="51">
        <v>2021</v>
      </c>
      <c r="P10" s="56"/>
      <c r="Q10" s="51"/>
      <c r="R10" s="51" t="s">
        <v>200</v>
      </c>
      <c r="S10" s="51" t="s">
        <v>203</v>
      </c>
      <c r="T10" s="55">
        <v>45716</v>
      </c>
      <c r="U10" s="57">
        <f t="shared" ref="U10:U47" si="1">YEARFRAC(N10,T10)</f>
        <v>4.1111111111111107</v>
      </c>
      <c r="V10" s="57">
        <v>26.3</v>
      </c>
      <c r="W10" s="51" t="s">
        <v>203</v>
      </c>
    </row>
    <row r="11" spans="1:23" s="58" customFormat="1" ht="12.75" x14ac:dyDescent="0.25">
      <c r="A11" s="51">
        <v>8</v>
      </c>
      <c r="B11" s="52" t="s">
        <v>253</v>
      </c>
      <c r="C11" s="53" t="s">
        <v>69</v>
      </c>
      <c r="D11" s="54">
        <v>26949</v>
      </c>
      <c r="E11" s="51" t="s">
        <v>254</v>
      </c>
      <c r="F11" s="51" t="s">
        <v>255</v>
      </c>
      <c r="G11" s="51" t="s">
        <v>77</v>
      </c>
      <c r="H11" s="51" t="s">
        <v>118</v>
      </c>
      <c r="I11" s="51" t="s">
        <v>256</v>
      </c>
      <c r="J11" s="51" t="s">
        <v>126</v>
      </c>
      <c r="K11" s="51" t="s">
        <v>166</v>
      </c>
      <c r="L11" s="55">
        <v>37681</v>
      </c>
      <c r="M11" s="51"/>
      <c r="N11" s="56" t="s">
        <v>257</v>
      </c>
      <c r="O11" s="51">
        <v>2021</v>
      </c>
      <c r="P11" s="56"/>
      <c r="Q11" s="51"/>
      <c r="R11" s="51" t="s">
        <v>201</v>
      </c>
      <c r="S11" s="51" t="s">
        <v>203</v>
      </c>
      <c r="T11" s="55">
        <v>45716</v>
      </c>
      <c r="U11" s="57">
        <f t="shared" si="1"/>
        <v>3.8138888888888891</v>
      </c>
      <c r="V11" s="57">
        <v>16.8</v>
      </c>
      <c r="W11" s="51" t="s">
        <v>203</v>
      </c>
    </row>
    <row r="12" spans="1:23" s="58" customFormat="1" ht="12.75" x14ac:dyDescent="0.25">
      <c r="A12" s="51">
        <v>9</v>
      </c>
      <c r="B12" s="52" t="s">
        <v>32</v>
      </c>
      <c r="C12" s="53" t="s">
        <v>69</v>
      </c>
      <c r="D12" s="54">
        <v>26392</v>
      </c>
      <c r="E12" s="51" t="s">
        <v>241</v>
      </c>
      <c r="F12" s="51" t="s">
        <v>74</v>
      </c>
      <c r="G12" s="51" t="s">
        <v>78</v>
      </c>
      <c r="H12" s="51" t="s">
        <v>117</v>
      </c>
      <c r="I12" s="51" t="s">
        <v>83</v>
      </c>
      <c r="J12" s="51" t="s">
        <v>134</v>
      </c>
      <c r="K12" s="51" t="s">
        <v>171</v>
      </c>
      <c r="L12" s="55">
        <v>36522</v>
      </c>
      <c r="M12" s="56">
        <v>44287</v>
      </c>
      <c r="N12" s="56">
        <v>38474</v>
      </c>
      <c r="O12" s="51">
        <v>2005</v>
      </c>
      <c r="P12" s="56"/>
      <c r="Q12" s="51"/>
      <c r="R12" s="51" t="s">
        <v>201</v>
      </c>
      <c r="S12" s="51" t="s">
        <v>203</v>
      </c>
      <c r="T12" s="55">
        <v>45716</v>
      </c>
      <c r="U12" s="57">
        <f>YEARFRAC(N12,T12)</f>
        <v>19.822222222222223</v>
      </c>
      <c r="V12" s="57">
        <v>25.8</v>
      </c>
      <c r="W12" s="51" t="s">
        <v>203</v>
      </c>
    </row>
    <row r="13" spans="1:23" s="58" customFormat="1" ht="12.75" x14ac:dyDescent="0.25">
      <c r="A13" s="51">
        <v>10</v>
      </c>
      <c r="B13" s="52" t="s">
        <v>34</v>
      </c>
      <c r="C13" s="53" t="s">
        <v>69</v>
      </c>
      <c r="D13" s="54">
        <v>26257</v>
      </c>
      <c r="E13" s="51" t="s">
        <v>239</v>
      </c>
      <c r="F13" s="51" t="s">
        <v>74</v>
      </c>
      <c r="G13" s="51" t="s">
        <v>77</v>
      </c>
      <c r="H13" s="51" t="s">
        <v>117</v>
      </c>
      <c r="I13" s="51" t="s">
        <v>91</v>
      </c>
      <c r="J13" s="51" t="s">
        <v>134</v>
      </c>
      <c r="K13" s="51" t="s">
        <v>173</v>
      </c>
      <c r="L13" s="55">
        <v>40336</v>
      </c>
      <c r="M13" s="56">
        <v>44287</v>
      </c>
      <c r="N13" s="56">
        <v>35143</v>
      </c>
      <c r="O13" s="51">
        <v>1996</v>
      </c>
      <c r="P13" s="56"/>
      <c r="Q13" s="51"/>
      <c r="R13" s="51" t="s">
        <v>201</v>
      </c>
      <c r="S13" s="51" t="s">
        <v>203</v>
      </c>
      <c r="T13" s="55">
        <v>45716</v>
      </c>
      <c r="U13" s="57">
        <f t="shared" si="1"/>
        <v>28.941666666666666</v>
      </c>
      <c r="V13" s="57">
        <v>28.980555555555554</v>
      </c>
      <c r="W13" s="51" t="s">
        <v>203</v>
      </c>
    </row>
    <row r="14" spans="1:23" s="58" customFormat="1" ht="12.75" x14ac:dyDescent="0.25">
      <c r="A14" s="51">
        <v>11</v>
      </c>
      <c r="B14" s="52" t="s">
        <v>45</v>
      </c>
      <c r="C14" s="53" t="s">
        <v>69</v>
      </c>
      <c r="D14" s="54">
        <v>28771</v>
      </c>
      <c r="E14" s="51" t="s">
        <v>232</v>
      </c>
      <c r="F14" s="51" t="s">
        <v>74</v>
      </c>
      <c r="G14" s="51" t="s">
        <v>77</v>
      </c>
      <c r="H14" s="51" t="s">
        <v>120</v>
      </c>
      <c r="I14" s="51" t="s">
        <v>99</v>
      </c>
      <c r="J14" s="51" t="s">
        <v>129</v>
      </c>
      <c r="K14" s="51" t="s">
        <v>165</v>
      </c>
      <c r="L14" s="55">
        <v>39944</v>
      </c>
      <c r="M14" s="56">
        <v>44652</v>
      </c>
      <c r="N14" s="56" t="s">
        <v>196</v>
      </c>
      <c r="O14" s="51">
        <v>2019</v>
      </c>
      <c r="P14" s="55"/>
      <c r="Q14" s="51"/>
      <c r="R14" s="51" t="s">
        <v>201</v>
      </c>
      <c r="S14" s="51" t="s">
        <v>203</v>
      </c>
      <c r="T14" s="55">
        <v>45716</v>
      </c>
      <c r="U14" s="57">
        <f t="shared" si="1"/>
        <v>5.8888888888888893</v>
      </c>
      <c r="V14" s="57">
        <v>17.2</v>
      </c>
      <c r="W14" s="51" t="s">
        <v>203</v>
      </c>
    </row>
    <row r="15" spans="1:23" s="58" customFormat="1" ht="12.75" x14ac:dyDescent="0.25">
      <c r="A15" s="51">
        <v>12</v>
      </c>
      <c r="B15" s="52" t="s">
        <v>36</v>
      </c>
      <c r="C15" s="53" t="s">
        <v>69</v>
      </c>
      <c r="D15" s="54">
        <v>27104</v>
      </c>
      <c r="E15" s="51" t="s">
        <v>237</v>
      </c>
      <c r="F15" s="51" t="s">
        <v>255</v>
      </c>
      <c r="G15" s="51" t="s">
        <v>78</v>
      </c>
      <c r="H15" s="51" t="s">
        <v>117</v>
      </c>
      <c r="I15" s="51" t="s">
        <v>93</v>
      </c>
      <c r="J15" s="51" t="s">
        <v>135</v>
      </c>
      <c r="K15" s="51" t="s">
        <v>175</v>
      </c>
      <c r="L15" s="55">
        <v>40148</v>
      </c>
      <c r="M15" s="56">
        <v>44652</v>
      </c>
      <c r="N15" s="56">
        <v>40269</v>
      </c>
      <c r="O15" s="51">
        <v>2010</v>
      </c>
      <c r="P15" s="56"/>
      <c r="Q15" s="51"/>
      <c r="R15" s="51" t="s">
        <v>201</v>
      </c>
      <c r="S15" s="51" t="s">
        <v>204</v>
      </c>
      <c r="T15" s="55">
        <v>45716</v>
      </c>
      <c r="U15" s="57">
        <f t="shared" si="1"/>
        <v>14.908333333333333</v>
      </c>
      <c r="V15" s="57">
        <v>26.366666666666699</v>
      </c>
      <c r="W15" s="51" t="s">
        <v>203</v>
      </c>
    </row>
    <row r="16" spans="1:23" s="58" customFormat="1" ht="12.75" x14ac:dyDescent="0.25">
      <c r="A16" s="51">
        <v>13</v>
      </c>
      <c r="B16" s="52" t="s">
        <v>302</v>
      </c>
      <c r="C16" s="53" t="s">
        <v>69</v>
      </c>
      <c r="D16" s="54">
        <v>24024</v>
      </c>
      <c r="E16" s="51" t="s">
        <v>303</v>
      </c>
      <c r="F16" s="51" t="s">
        <v>75</v>
      </c>
      <c r="G16" s="51" t="s">
        <v>77</v>
      </c>
      <c r="H16" s="51" t="s">
        <v>120</v>
      </c>
      <c r="I16" s="51" t="s">
        <v>304</v>
      </c>
      <c r="J16" s="51" t="s">
        <v>306</v>
      </c>
      <c r="K16" s="51" t="s">
        <v>305</v>
      </c>
      <c r="L16" s="55">
        <v>38409</v>
      </c>
      <c r="M16" s="56"/>
      <c r="N16" s="56">
        <v>45051</v>
      </c>
      <c r="O16" s="51">
        <v>2023</v>
      </c>
      <c r="P16" s="56"/>
      <c r="Q16" s="51"/>
      <c r="R16" s="51" t="s">
        <v>200</v>
      </c>
      <c r="S16" s="51" t="s">
        <v>203</v>
      </c>
      <c r="T16" s="55">
        <v>45716</v>
      </c>
      <c r="U16" s="57">
        <f t="shared" si="1"/>
        <v>1.8138888888888889</v>
      </c>
      <c r="V16" s="57">
        <v>31.7</v>
      </c>
      <c r="W16" s="51" t="s">
        <v>203</v>
      </c>
    </row>
    <row r="17" spans="1:23" s="58" customFormat="1" ht="12.75" x14ac:dyDescent="0.25">
      <c r="A17" s="51">
        <v>14</v>
      </c>
      <c r="B17" s="52" t="s">
        <v>307</v>
      </c>
      <c r="C17" s="53" t="s">
        <v>69</v>
      </c>
      <c r="D17" s="54">
        <v>26120</v>
      </c>
      <c r="E17" s="51" t="s">
        <v>308</v>
      </c>
      <c r="F17" s="51" t="s">
        <v>74</v>
      </c>
      <c r="G17" s="51" t="s">
        <v>78</v>
      </c>
      <c r="H17" s="51" t="s">
        <v>120</v>
      </c>
      <c r="I17" s="51" t="s">
        <v>83</v>
      </c>
      <c r="J17" s="51" t="s">
        <v>134</v>
      </c>
      <c r="K17" s="51" t="s">
        <v>171</v>
      </c>
      <c r="L17" s="55">
        <v>42893</v>
      </c>
      <c r="M17" s="56"/>
      <c r="N17" s="56">
        <v>44758</v>
      </c>
      <c r="O17" s="51">
        <v>2022</v>
      </c>
      <c r="P17" s="56"/>
      <c r="Q17" s="51"/>
      <c r="R17" s="51" t="s">
        <v>201</v>
      </c>
      <c r="S17" s="51" t="s">
        <v>203</v>
      </c>
      <c r="T17" s="55">
        <v>45716</v>
      </c>
      <c r="U17" s="57">
        <f t="shared" si="1"/>
        <v>2.6166666666666667</v>
      </c>
      <c r="V17" s="57">
        <v>29.4</v>
      </c>
      <c r="W17" s="51" t="s">
        <v>203</v>
      </c>
    </row>
    <row r="18" spans="1:23" s="58" customFormat="1" ht="12.75" x14ac:dyDescent="0.25">
      <c r="A18" s="51">
        <v>15</v>
      </c>
      <c r="B18" s="52" t="s">
        <v>314</v>
      </c>
      <c r="C18" s="53" t="s">
        <v>69</v>
      </c>
      <c r="D18" s="54">
        <v>22408</v>
      </c>
      <c r="E18" s="51" t="s">
        <v>315</v>
      </c>
      <c r="F18" s="51" t="s">
        <v>74</v>
      </c>
      <c r="G18" s="51" t="s">
        <v>77</v>
      </c>
      <c r="H18" s="51" t="s">
        <v>118</v>
      </c>
      <c r="I18" s="51" t="s">
        <v>316</v>
      </c>
      <c r="J18" s="51" t="s">
        <v>135</v>
      </c>
      <c r="K18" s="51" t="s">
        <v>317</v>
      </c>
      <c r="L18" s="55">
        <v>33327</v>
      </c>
      <c r="M18" s="56"/>
      <c r="N18" s="56">
        <v>45139</v>
      </c>
      <c r="O18" s="51">
        <v>2023</v>
      </c>
      <c r="P18" s="56"/>
      <c r="Q18" s="51"/>
      <c r="R18" s="51" t="s">
        <v>200</v>
      </c>
      <c r="S18" s="51" t="s">
        <v>203</v>
      </c>
      <c r="T18" s="55">
        <v>45716</v>
      </c>
      <c r="U18" s="57">
        <f t="shared" si="1"/>
        <v>1.575</v>
      </c>
      <c r="V18" s="59">
        <v>39.299999999999997</v>
      </c>
      <c r="W18" s="51" t="s">
        <v>203</v>
      </c>
    </row>
    <row r="19" spans="1:23" s="62" customFormat="1" x14ac:dyDescent="0.25">
      <c r="A19" s="51">
        <v>16</v>
      </c>
      <c r="B19" s="52" t="s">
        <v>334</v>
      </c>
      <c r="C19" s="53" t="s">
        <v>335</v>
      </c>
      <c r="D19" s="54">
        <v>28734</v>
      </c>
      <c r="E19" s="65" t="s">
        <v>341</v>
      </c>
      <c r="F19" s="51" t="s">
        <v>76</v>
      </c>
      <c r="G19" s="51" t="s">
        <v>77</v>
      </c>
      <c r="H19" s="51" t="s">
        <v>120</v>
      </c>
      <c r="I19" s="51" t="s">
        <v>342</v>
      </c>
      <c r="J19" s="60" t="s">
        <v>350</v>
      </c>
      <c r="K19" s="60" t="s">
        <v>351</v>
      </c>
      <c r="L19" s="55">
        <v>39969</v>
      </c>
      <c r="M19" s="60"/>
      <c r="N19" s="56">
        <v>45458</v>
      </c>
      <c r="O19" s="51">
        <v>2024</v>
      </c>
      <c r="P19" s="61">
        <v>45586</v>
      </c>
      <c r="Q19" s="60">
        <v>2024</v>
      </c>
      <c r="R19" s="51" t="s">
        <v>201</v>
      </c>
      <c r="S19" s="60" t="s">
        <v>204</v>
      </c>
      <c r="T19" s="55">
        <v>45586</v>
      </c>
      <c r="U19" s="57">
        <f>YEARFRAC(N19,T19)</f>
        <v>0.35</v>
      </c>
      <c r="V19" s="60">
        <v>20.2</v>
      </c>
      <c r="W19" s="51" t="s">
        <v>204</v>
      </c>
    </row>
    <row r="20" spans="1:23" s="62" customFormat="1" ht="30" x14ac:dyDescent="0.25">
      <c r="A20" s="51">
        <v>17</v>
      </c>
      <c r="B20" s="52" t="s">
        <v>358</v>
      </c>
      <c r="C20" s="53" t="s">
        <v>335</v>
      </c>
      <c r="D20" s="54">
        <v>28250</v>
      </c>
      <c r="E20" s="65" t="s">
        <v>359</v>
      </c>
      <c r="F20" s="51" t="s">
        <v>320</v>
      </c>
      <c r="G20" s="51" t="s">
        <v>77</v>
      </c>
      <c r="H20" s="51" t="s">
        <v>120</v>
      </c>
      <c r="I20" s="51" t="s">
        <v>360</v>
      </c>
      <c r="J20" s="60" t="s">
        <v>361</v>
      </c>
      <c r="K20" s="60" t="s">
        <v>362</v>
      </c>
      <c r="L20" s="55">
        <v>41182</v>
      </c>
      <c r="M20" s="60"/>
      <c r="N20" s="56">
        <v>45503</v>
      </c>
      <c r="O20" s="51">
        <v>2024</v>
      </c>
      <c r="P20" s="61">
        <v>45642</v>
      </c>
      <c r="Q20" s="60">
        <v>2024</v>
      </c>
      <c r="R20" s="51" t="s">
        <v>201</v>
      </c>
      <c r="S20" s="60" t="s">
        <v>203</v>
      </c>
      <c r="T20" s="55">
        <v>45642</v>
      </c>
      <c r="U20" s="57">
        <f>YEARFRAC(N20,T20)</f>
        <v>0.37777777777777777</v>
      </c>
      <c r="V20" s="60">
        <v>22</v>
      </c>
      <c r="W20" s="51" t="s">
        <v>204</v>
      </c>
    </row>
    <row r="21" spans="1:23" s="62" customFormat="1" ht="30" x14ac:dyDescent="0.25">
      <c r="A21" s="51">
        <v>18</v>
      </c>
      <c r="B21" s="52" t="s">
        <v>363</v>
      </c>
      <c r="C21" s="53" t="s">
        <v>335</v>
      </c>
      <c r="D21" s="54">
        <v>27507</v>
      </c>
      <c r="E21" s="65" t="s">
        <v>364</v>
      </c>
      <c r="F21" s="51" t="s">
        <v>320</v>
      </c>
      <c r="G21" s="51" t="s">
        <v>77</v>
      </c>
      <c r="H21" s="51" t="s">
        <v>120</v>
      </c>
      <c r="I21" s="51" t="s">
        <v>365</v>
      </c>
      <c r="J21" s="60" t="s">
        <v>366</v>
      </c>
      <c r="K21" s="60" t="s">
        <v>367</v>
      </c>
      <c r="L21" s="55">
        <v>41099</v>
      </c>
      <c r="M21" s="60"/>
      <c r="N21" s="56">
        <v>45679</v>
      </c>
      <c r="O21" s="51">
        <v>2025</v>
      </c>
      <c r="P21" s="61">
        <v>45695</v>
      </c>
      <c r="Q21" s="60">
        <v>2025</v>
      </c>
      <c r="R21" s="51" t="s">
        <v>201</v>
      </c>
      <c r="S21" s="60" t="s">
        <v>203</v>
      </c>
      <c r="T21" s="55">
        <v>45695</v>
      </c>
      <c r="U21" s="57">
        <f>YEARFRAC(N21,T21)</f>
        <v>4.1666666666666664E-2</v>
      </c>
      <c r="V21" s="60">
        <v>23</v>
      </c>
      <c r="W21" s="51" t="s">
        <v>204</v>
      </c>
    </row>
    <row r="22" spans="1:23" s="58" customFormat="1" ht="12.75" x14ac:dyDescent="0.25">
      <c r="A22" s="51">
        <v>19</v>
      </c>
      <c r="B22" s="52" t="s">
        <v>42</v>
      </c>
      <c r="C22" s="53" t="s">
        <v>69</v>
      </c>
      <c r="D22" s="54">
        <v>27629</v>
      </c>
      <c r="E22" s="51" t="s">
        <v>247</v>
      </c>
      <c r="F22" s="51" t="s">
        <v>76</v>
      </c>
      <c r="G22" s="51" t="s">
        <v>77</v>
      </c>
      <c r="H22" s="51" t="s">
        <v>117</v>
      </c>
      <c r="I22" s="51" t="s">
        <v>96</v>
      </c>
      <c r="J22" s="51" t="s">
        <v>138</v>
      </c>
      <c r="K22" s="51" t="s">
        <v>177</v>
      </c>
      <c r="L22" s="55">
        <v>40733</v>
      </c>
      <c r="M22" s="51"/>
      <c r="N22" s="56">
        <v>42522</v>
      </c>
      <c r="O22" s="51">
        <v>2016</v>
      </c>
      <c r="P22" s="55"/>
      <c r="Q22" s="51"/>
      <c r="R22" s="51" t="s">
        <v>201</v>
      </c>
      <c r="S22" s="51" t="s">
        <v>203</v>
      </c>
      <c r="T22" s="55">
        <v>45716</v>
      </c>
      <c r="U22" s="57">
        <f>YEARFRAC(N22,T22)</f>
        <v>8.7416666666666671</v>
      </c>
      <c r="V22" s="57">
        <v>21.616666666666699</v>
      </c>
      <c r="W22" s="51" t="s">
        <v>203</v>
      </c>
    </row>
    <row r="23" spans="1:23" s="58" customFormat="1" ht="12.75" x14ac:dyDescent="0.25">
      <c r="A23" s="51">
        <v>20</v>
      </c>
      <c r="B23" s="52" t="s">
        <v>33</v>
      </c>
      <c r="C23" s="53" t="s">
        <v>72</v>
      </c>
      <c r="D23" s="54">
        <v>23885</v>
      </c>
      <c r="E23" s="51" t="s">
        <v>240</v>
      </c>
      <c r="F23" s="51" t="s">
        <v>74</v>
      </c>
      <c r="G23" s="51" t="s">
        <v>77</v>
      </c>
      <c r="H23" s="51" t="s">
        <v>117</v>
      </c>
      <c r="I23" s="51" t="s">
        <v>90</v>
      </c>
      <c r="J23" s="51" t="s">
        <v>126</v>
      </c>
      <c r="K23" s="51" t="s">
        <v>172</v>
      </c>
      <c r="L23" s="55">
        <v>33797</v>
      </c>
      <c r="M23" s="56">
        <v>41275</v>
      </c>
      <c r="N23" s="56">
        <v>39235</v>
      </c>
      <c r="O23" s="51">
        <v>2007</v>
      </c>
      <c r="P23" s="56"/>
      <c r="Q23" s="51"/>
      <c r="R23" s="51" t="s">
        <v>200</v>
      </c>
      <c r="S23" s="51" t="s">
        <v>203</v>
      </c>
      <c r="T23" s="55">
        <v>45716</v>
      </c>
      <c r="U23" s="57">
        <f t="shared" si="1"/>
        <v>17.738888888888887</v>
      </c>
      <c r="V23" s="57">
        <v>33.700000000000003</v>
      </c>
      <c r="W23" s="51" t="s">
        <v>203</v>
      </c>
    </row>
    <row r="24" spans="1:23" s="58" customFormat="1" ht="12.75" x14ac:dyDescent="0.25">
      <c r="A24" s="51">
        <v>21</v>
      </c>
      <c r="B24" s="52" t="s">
        <v>38</v>
      </c>
      <c r="C24" s="53" t="s">
        <v>72</v>
      </c>
      <c r="D24" s="54">
        <v>27271</v>
      </c>
      <c r="E24" s="51" t="s">
        <v>235</v>
      </c>
      <c r="F24" s="51" t="s">
        <v>74</v>
      </c>
      <c r="G24" s="51" t="s">
        <v>77</v>
      </c>
      <c r="H24" s="51" t="s">
        <v>117</v>
      </c>
      <c r="I24" s="51" t="s">
        <v>95</v>
      </c>
      <c r="J24" s="51" t="s">
        <v>126</v>
      </c>
      <c r="K24" s="51" t="s">
        <v>172</v>
      </c>
      <c r="L24" s="55">
        <v>40575</v>
      </c>
      <c r="M24" s="55">
        <v>43191</v>
      </c>
      <c r="N24" s="56">
        <v>40634</v>
      </c>
      <c r="O24" s="51">
        <v>2011</v>
      </c>
      <c r="P24" s="56"/>
      <c r="Q24" s="51"/>
      <c r="R24" s="51" t="s">
        <v>201</v>
      </c>
      <c r="S24" s="51" t="s">
        <v>203</v>
      </c>
      <c r="T24" s="55">
        <v>45716</v>
      </c>
      <c r="U24" s="57">
        <f t="shared" si="1"/>
        <v>13.908333333333333</v>
      </c>
      <c r="V24" s="57">
        <v>24.366666666666699</v>
      </c>
      <c r="W24" s="51" t="s">
        <v>203</v>
      </c>
    </row>
    <row r="25" spans="1:23" s="58" customFormat="1" ht="12.75" x14ac:dyDescent="0.25">
      <c r="A25" s="51">
        <v>22</v>
      </c>
      <c r="B25" s="52" t="s">
        <v>40</v>
      </c>
      <c r="C25" s="53" t="s">
        <v>72</v>
      </c>
      <c r="D25" s="54">
        <v>28230</v>
      </c>
      <c r="E25" s="51" t="s">
        <v>248</v>
      </c>
      <c r="F25" s="51" t="s">
        <v>76</v>
      </c>
      <c r="G25" s="51" t="s">
        <v>77</v>
      </c>
      <c r="H25" s="51" t="s">
        <v>117</v>
      </c>
      <c r="I25" s="51" t="s">
        <v>96</v>
      </c>
      <c r="J25" s="51" t="s">
        <v>136</v>
      </c>
      <c r="K25" s="51" t="s">
        <v>177</v>
      </c>
      <c r="L25" s="55">
        <v>41097</v>
      </c>
      <c r="M25" s="55">
        <v>43132</v>
      </c>
      <c r="N25" s="56">
        <v>41676</v>
      </c>
      <c r="O25" s="51">
        <v>2014</v>
      </c>
      <c r="P25" s="56"/>
      <c r="Q25" s="51"/>
      <c r="R25" s="51" t="s">
        <v>201</v>
      </c>
      <c r="S25" s="51" t="s">
        <v>204</v>
      </c>
      <c r="T25" s="55">
        <v>45716</v>
      </c>
      <c r="U25" s="57">
        <f t="shared" si="1"/>
        <v>11.061111111111112</v>
      </c>
      <c r="V25" s="57">
        <v>21.2</v>
      </c>
      <c r="W25" s="51" t="s">
        <v>203</v>
      </c>
    </row>
    <row r="26" spans="1:23" s="58" customFormat="1" ht="12.75" x14ac:dyDescent="0.25">
      <c r="A26" s="51">
        <v>23</v>
      </c>
      <c r="B26" s="52" t="s">
        <v>41</v>
      </c>
      <c r="C26" s="53" t="s">
        <v>72</v>
      </c>
      <c r="D26" s="54">
        <v>26721</v>
      </c>
      <c r="E26" s="51" t="s">
        <v>234</v>
      </c>
      <c r="F26" s="51" t="s">
        <v>74</v>
      </c>
      <c r="G26" s="51" t="s">
        <v>77</v>
      </c>
      <c r="H26" s="51" t="s">
        <v>117</v>
      </c>
      <c r="I26" s="51" t="s">
        <v>97</v>
      </c>
      <c r="J26" s="51" t="s">
        <v>137</v>
      </c>
      <c r="K26" s="51" t="s">
        <v>178</v>
      </c>
      <c r="L26" s="55">
        <v>41843</v>
      </c>
      <c r="M26" s="51"/>
      <c r="N26" s="56">
        <v>42408</v>
      </c>
      <c r="O26" s="51">
        <v>2016</v>
      </c>
      <c r="P26" s="56"/>
      <c r="Q26" s="51"/>
      <c r="R26" s="51" t="s">
        <v>201</v>
      </c>
      <c r="S26" s="51" t="s">
        <v>203</v>
      </c>
      <c r="T26" s="55">
        <v>45716</v>
      </c>
      <c r="U26" s="57">
        <f t="shared" si="1"/>
        <v>9.0555555555555554</v>
      </c>
      <c r="V26" s="57">
        <v>23.45</v>
      </c>
      <c r="W26" s="51" t="s">
        <v>203</v>
      </c>
    </row>
    <row r="27" spans="1:23" s="58" customFormat="1" ht="12.75" x14ac:dyDescent="0.25">
      <c r="A27" s="51">
        <v>24</v>
      </c>
      <c r="B27" s="52" t="s">
        <v>48</v>
      </c>
      <c r="C27" s="53" t="s">
        <v>72</v>
      </c>
      <c r="D27" s="54">
        <v>29953</v>
      </c>
      <c r="E27" s="51" t="s">
        <v>217</v>
      </c>
      <c r="F27" s="51" t="s">
        <v>74</v>
      </c>
      <c r="G27" s="51" t="s">
        <v>78</v>
      </c>
      <c r="H27" s="51" t="s">
        <v>120</v>
      </c>
      <c r="I27" s="51" t="s">
        <v>102</v>
      </c>
      <c r="J27" s="51" t="s">
        <v>126</v>
      </c>
      <c r="K27" s="51" t="s">
        <v>183</v>
      </c>
      <c r="L27" s="55">
        <v>42464</v>
      </c>
      <c r="M27" s="51"/>
      <c r="N27" s="56">
        <v>43901</v>
      </c>
      <c r="O27" s="51">
        <v>2020</v>
      </c>
      <c r="P27" s="56"/>
      <c r="Q27" s="51"/>
      <c r="R27" s="51" t="s">
        <v>201</v>
      </c>
      <c r="S27" s="51" t="s">
        <v>203</v>
      </c>
      <c r="T27" s="55">
        <v>45716</v>
      </c>
      <c r="U27" s="57">
        <f t="shared" si="1"/>
        <v>4.9638888888888886</v>
      </c>
      <c r="V27" s="57">
        <v>17.899999999999999</v>
      </c>
      <c r="W27" s="51" t="s">
        <v>203</v>
      </c>
    </row>
    <row r="28" spans="1:23" s="58" customFormat="1" ht="12.75" x14ac:dyDescent="0.25">
      <c r="A28" s="51">
        <v>25</v>
      </c>
      <c r="B28" s="52" t="s">
        <v>276</v>
      </c>
      <c r="C28" s="53" t="s">
        <v>72</v>
      </c>
      <c r="D28" s="54">
        <v>28321</v>
      </c>
      <c r="E28" s="51" t="s">
        <v>288</v>
      </c>
      <c r="F28" s="51" t="s">
        <v>76</v>
      </c>
      <c r="G28" s="51" t="s">
        <v>77</v>
      </c>
      <c r="H28" s="51" t="s">
        <v>120</v>
      </c>
      <c r="I28" s="51" t="s">
        <v>282</v>
      </c>
      <c r="J28" s="51" t="s">
        <v>292</v>
      </c>
      <c r="K28" s="51" t="s">
        <v>297</v>
      </c>
      <c r="L28" s="55">
        <v>39873</v>
      </c>
      <c r="M28" s="51"/>
      <c r="N28" s="56">
        <v>44489</v>
      </c>
      <c r="O28" s="51">
        <v>2021</v>
      </c>
      <c r="P28" s="56"/>
      <c r="Q28" s="51"/>
      <c r="R28" s="51" t="s">
        <v>201</v>
      </c>
      <c r="S28" s="51" t="s">
        <v>203</v>
      </c>
      <c r="T28" s="55">
        <v>45716</v>
      </c>
      <c r="U28" s="57">
        <f t="shared" si="1"/>
        <v>3.3555555555555556</v>
      </c>
      <c r="V28" s="57">
        <v>21.7</v>
      </c>
      <c r="W28" s="51" t="s">
        <v>203</v>
      </c>
    </row>
    <row r="29" spans="1:23" s="58" customFormat="1" ht="12.75" x14ac:dyDescent="0.25">
      <c r="A29" s="51">
        <v>26</v>
      </c>
      <c r="B29" s="52" t="s">
        <v>273</v>
      </c>
      <c r="C29" s="53" t="s">
        <v>72</v>
      </c>
      <c r="D29" s="54">
        <v>27714</v>
      </c>
      <c r="E29" s="51" t="s">
        <v>285</v>
      </c>
      <c r="F29" s="51" t="s">
        <v>74</v>
      </c>
      <c r="G29" s="51" t="s">
        <v>78</v>
      </c>
      <c r="H29" s="51" t="s">
        <v>120</v>
      </c>
      <c r="I29" s="51" t="s">
        <v>291</v>
      </c>
      <c r="J29" s="51" t="s">
        <v>292</v>
      </c>
      <c r="K29" s="51" t="s">
        <v>295</v>
      </c>
      <c r="L29" s="55">
        <v>42060</v>
      </c>
      <c r="M29" s="51"/>
      <c r="N29" s="56">
        <v>44662</v>
      </c>
      <c r="O29" s="51">
        <v>2022</v>
      </c>
      <c r="P29" s="56"/>
      <c r="Q29" s="51"/>
      <c r="R29" s="51" t="s">
        <v>201</v>
      </c>
      <c r="S29" s="51" t="s">
        <v>203</v>
      </c>
      <c r="T29" s="55">
        <v>45716</v>
      </c>
      <c r="U29" s="57">
        <f t="shared" si="1"/>
        <v>2.8805555555555555</v>
      </c>
      <c r="V29" s="57">
        <v>19.899999999999999</v>
      </c>
      <c r="W29" s="51" t="s">
        <v>203</v>
      </c>
    </row>
    <row r="30" spans="1:23" s="58" customFormat="1" ht="12.75" x14ac:dyDescent="0.25">
      <c r="A30" s="51">
        <v>27</v>
      </c>
      <c r="B30" s="52" t="s">
        <v>59</v>
      </c>
      <c r="C30" s="53" t="s">
        <v>72</v>
      </c>
      <c r="D30" s="54">
        <v>29469</v>
      </c>
      <c r="E30" s="51" t="s">
        <v>226</v>
      </c>
      <c r="F30" s="51" t="s">
        <v>255</v>
      </c>
      <c r="G30" s="51" t="s">
        <v>78</v>
      </c>
      <c r="H30" s="51" t="s">
        <v>120</v>
      </c>
      <c r="I30" s="51" t="s">
        <v>105</v>
      </c>
      <c r="J30" s="51" t="s">
        <v>151</v>
      </c>
      <c r="K30" s="51" t="s">
        <v>186</v>
      </c>
      <c r="L30" s="55">
        <v>39479</v>
      </c>
      <c r="M30" s="56">
        <v>45108</v>
      </c>
      <c r="N30" s="56" t="s">
        <v>199</v>
      </c>
      <c r="O30" s="51">
        <v>2017</v>
      </c>
      <c r="P30" s="56"/>
      <c r="Q30" s="51"/>
      <c r="R30" s="51" t="s">
        <v>201</v>
      </c>
      <c r="S30" s="51" t="s">
        <v>203</v>
      </c>
      <c r="T30" s="55">
        <v>45716</v>
      </c>
      <c r="U30" s="57">
        <f t="shared" si="1"/>
        <v>7.5777777777777775</v>
      </c>
      <c r="V30" s="57">
        <v>20</v>
      </c>
      <c r="W30" s="51" t="s">
        <v>203</v>
      </c>
    </row>
    <row r="31" spans="1:23" s="58" customFormat="1" x14ac:dyDescent="0.25">
      <c r="A31" s="51">
        <v>28</v>
      </c>
      <c r="B31" s="52" t="s">
        <v>324</v>
      </c>
      <c r="C31" s="53" t="s">
        <v>72</v>
      </c>
      <c r="D31" s="54">
        <v>27294</v>
      </c>
      <c r="E31" s="51" t="s">
        <v>325</v>
      </c>
      <c r="F31" s="51" t="s">
        <v>74</v>
      </c>
      <c r="G31" s="51" t="s">
        <v>78</v>
      </c>
      <c r="H31" s="51" t="s">
        <v>329</v>
      </c>
      <c r="I31" s="51" t="s">
        <v>330</v>
      </c>
      <c r="J31" s="51" t="s">
        <v>126</v>
      </c>
      <c r="K31" s="51" t="s">
        <v>331</v>
      </c>
      <c r="L31" s="55">
        <v>42532</v>
      </c>
      <c r="M31" s="56"/>
      <c r="N31" s="56">
        <v>43911</v>
      </c>
      <c r="O31" s="51">
        <v>2020</v>
      </c>
      <c r="P31" s="61">
        <v>45653</v>
      </c>
      <c r="Q31" s="51">
        <v>2024</v>
      </c>
      <c r="R31" s="51" t="s">
        <v>201</v>
      </c>
      <c r="S31" s="51" t="s">
        <v>203</v>
      </c>
      <c r="T31" s="55">
        <v>45653</v>
      </c>
      <c r="U31" s="57">
        <f t="shared" si="1"/>
        <v>4.7666666666666666</v>
      </c>
      <c r="V31" s="57">
        <v>23.9</v>
      </c>
      <c r="W31" s="51" t="s">
        <v>204</v>
      </c>
    </row>
    <row r="32" spans="1:23" s="58" customFormat="1" x14ac:dyDescent="0.25">
      <c r="A32" s="51">
        <v>29</v>
      </c>
      <c r="B32" s="52" t="s">
        <v>336</v>
      </c>
      <c r="C32" s="53" t="s">
        <v>72</v>
      </c>
      <c r="D32" s="63">
        <v>22867</v>
      </c>
      <c r="E32" s="51" t="s">
        <v>326</v>
      </c>
      <c r="F32" s="51" t="s">
        <v>74</v>
      </c>
      <c r="G32" s="51" t="s">
        <v>77</v>
      </c>
      <c r="H32" s="51" t="s">
        <v>119</v>
      </c>
      <c r="I32" s="51" t="s">
        <v>333</v>
      </c>
      <c r="J32" s="51" t="s">
        <v>126</v>
      </c>
      <c r="K32" s="51" t="s">
        <v>190</v>
      </c>
      <c r="L32" s="55">
        <v>31516</v>
      </c>
      <c r="M32" s="56"/>
      <c r="N32" s="56">
        <v>44358</v>
      </c>
      <c r="O32" s="51">
        <v>2021</v>
      </c>
      <c r="P32" s="61">
        <v>45657</v>
      </c>
      <c r="Q32" s="51">
        <v>2024</v>
      </c>
      <c r="R32" s="51" t="s">
        <v>200</v>
      </c>
      <c r="S32" s="51" t="s">
        <v>203</v>
      </c>
      <c r="T32" s="55">
        <v>45657</v>
      </c>
      <c r="U32" s="57">
        <f t="shared" si="1"/>
        <v>3.5555555555555554</v>
      </c>
      <c r="V32" s="59">
        <v>29.900000000000002</v>
      </c>
      <c r="W32" s="51" t="s">
        <v>204</v>
      </c>
    </row>
    <row r="33" spans="1:23" s="62" customFormat="1" x14ac:dyDescent="0.25">
      <c r="A33" s="51">
        <v>30</v>
      </c>
      <c r="B33" s="52" t="s">
        <v>337</v>
      </c>
      <c r="C33" s="53" t="s">
        <v>72</v>
      </c>
      <c r="D33" s="54">
        <v>31626</v>
      </c>
      <c r="E33" s="51" t="s">
        <v>343</v>
      </c>
      <c r="F33" s="51" t="s">
        <v>74</v>
      </c>
      <c r="G33" s="51" t="s">
        <v>77</v>
      </c>
      <c r="H33" s="51" t="s">
        <v>120</v>
      </c>
      <c r="I33" s="51" t="s">
        <v>95</v>
      </c>
      <c r="J33" s="51" t="s">
        <v>352</v>
      </c>
      <c r="K33" s="51" t="s">
        <v>172</v>
      </c>
      <c r="L33" s="55">
        <v>45193</v>
      </c>
      <c r="M33" s="60"/>
      <c r="N33" s="56">
        <v>45331</v>
      </c>
      <c r="O33" s="51">
        <v>2024</v>
      </c>
      <c r="P33" s="61">
        <v>45565</v>
      </c>
      <c r="Q33" s="51">
        <v>2024</v>
      </c>
      <c r="R33" s="51" t="s">
        <v>201</v>
      </c>
      <c r="S33" s="60" t="s">
        <v>204</v>
      </c>
      <c r="T33" s="55">
        <v>45565</v>
      </c>
      <c r="U33" s="57">
        <f t="shared" si="1"/>
        <v>0.64166666666666672</v>
      </c>
      <c r="V33" s="60">
        <v>14</v>
      </c>
      <c r="W33" s="51" t="s">
        <v>204</v>
      </c>
    </row>
    <row r="34" spans="1:23" s="62" customFormat="1" x14ac:dyDescent="0.25">
      <c r="A34" s="51">
        <v>31</v>
      </c>
      <c r="B34" s="52" t="s">
        <v>368</v>
      </c>
      <c r="C34" s="53" t="s">
        <v>72</v>
      </c>
      <c r="D34" s="54">
        <v>29906</v>
      </c>
      <c r="E34" s="51" t="s">
        <v>369</v>
      </c>
      <c r="F34" s="51" t="s">
        <v>76</v>
      </c>
      <c r="G34" s="51" t="s">
        <v>77</v>
      </c>
      <c r="H34" s="51" t="s">
        <v>120</v>
      </c>
      <c r="I34" s="51" t="s">
        <v>370</v>
      </c>
      <c r="J34" s="51" t="s">
        <v>371</v>
      </c>
      <c r="K34" s="51" t="s">
        <v>372</v>
      </c>
      <c r="L34" s="55">
        <v>42556</v>
      </c>
      <c r="M34" s="60"/>
      <c r="N34" s="56">
        <v>45535</v>
      </c>
      <c r="O34" s="51">
        <v>2024</v>
      </c>
      <c r="P34" s="61"/>
      <c r="Q34" s="51"/>
      <c r="R34" s="51" t="s">
        <v>201</v>
      </c>
      <c r="S34" s="60" t="s">
        <v>203</v>
      </c>
      <c r="T34" s="55">
        <v>45716</v>
      </c>
      <c r="U34" s="57">
        <f t="shared" si="1"/>
        <v>0.49444444444444446</v>
      </c>
      <c r="V34" s="60">
        <v>21</v>
      </c>
      <c r="W34" s="51" t="s">
        <v>203</v>
      </c>
    </row>
    <row r="35" spans="1:23" s="58" customFormat="1" ht="12.75" x14ac:dyDescent="0.25">
      <c r="A35" s="51">
        <v>32</v>
      </c>
      <c r="B35" s="52" t="s">
        <v>57</v>
      </c>
      <c r="C35" s="53" t="s">
        <v>72</v>
      </c>
      <c r="D35" s="54">
        <v>29738</v>
      </c>
      <c r="E35" s="51" t="s">
        <v>228</v>
      </c>
      <c r="F35" s="51" t="s">
        <v>75</v>
      </c>
      <c r="G35" s="51" t="s">
        <v>78</v>
      </c>
      <c r="H35" s="51" t="s">
        <v>120</v>
      </c>
      <c r="I35" s="51" t="s">
        <v>110</v>
      </c>
      <c r="J35" s="51" t="s">
        <v>149</v>
      </c>
      <c r="K35" s="51" t="s">
        <v>190</v>
      </c>
      <c r="L35" s="55">
        <v>43734</v>
      </c>
      <c r="M35" s="54">
        <v>45383</v>
      </c>
      <c r="N35" s="56" t="s">
        <v>198</v>
      </c>
      <c r="O35" s="51">
        <v>2016</v>
      </c>
      <c r="P35" s="56"/>
      <c r="Q35" s="51"/>
      <c r="R35" s="51" t="s">
        <v>201</v>
      </c>
      <c r="S35" s="51" t="s">
        <v>203</v>
      </c>
      <c r="T35" s="55">
        <v>45716</v>
      </c>
      <c r="U35" s="57">
        <f t="shared" si="1"/>
        <v>9.0916666666666668</v>
      </c>
      <c r="V35" s="57">
        <v>20.100000000000001</v>
      </c>
      <c r="W35" s="51" t="s">
        <v>203</v>
      </c>
    </row>
    <row r="36" spans="1:23" s="58" customFormat="1" ht="12.75" x14ac:dyDescent="0.25">
      <c r="A36" s="51">
        <v>33</v>
      </c>
      <c r="B36" s="52" t="s">
        <v>52</v>
      </c>
      <c r="C36" s="53" t="s">
        <v>73</v>
      </c>
      <c r="D36" s="54">
        <v>26820</v>
      </c>
      <c r="E36" s="51" t="s">
        <v>245</v>
      </c>
      <c r="F36" s="51" t="s">
        <v>75</v>
      </c>
      <c r="G36" s="51" t="s">
        <v>77</v>
      </c>
      <c r="H36" s="51" t="s">
        <v>117</v>
      </c>
      <c r="I36" s="51" t="s">
        <v>105</v>
      </c>
      <c r="J36" s="51" t="s">
        <v>145</v>
      </c>
      <c r="K36" s="51" t="s">
        <v>186</v>
      </c>
      <c r="L36" s="55">
        <v>44410</v>
      </c>
      <c r="M36" s="55">
        <v>43076</v>
      </c>
      <c r="N36" s="56">
        <v>38957</v>
      </c>
      <c r="O36" s="51">
        <v>2006</v>
      </c>
      <c r="P36" s="55"/>
      <c r="Q36" s="51"/>
      <c r="R36" s="51" t="s">
        <v>201</v>
      </c>
      <c r="S36" s="51" t="s">
        <v>203</v>
      </c>
      <c r="T36" s="55">
        <v>45716</v>
      </c>
      <c r="U36" s="57">
        <f t="shared" si="1"/>
        <v>18.5</v>
      </c>
      <c r="V36" s="57">
        <v>23.366666666666699</v>
      </c>
      <c r="W36" s="51" t="s">
        <v>203</v>
      </c>
    </row>
    <row r="37" spans="1:23" s="58" customFormat="1" ht="12.75" x14ac:dyDescent="0.25">
      <c r="A37" s="51">
        <v>34</v>
      </c>
      <c r="B37" s="52" t="s">
        <v>54</v>
      </c>
      <c r="C37" s="53" t="s">
        <v>73</v>
      </c>
      <c r="D37" s="54">
        <v>28772</v>
      </c>
      <c r="E37" s="51" t="s">
        <v>249</v>
      </c>
      <c r="F37" s="51" t="s">
        <v>76</v>
      </c>
      <c r="G37" s="51" t="s">
        <v>77</v>
      </c>
      <c r="H37" s="51" t="s">
        <v>119</v>
      </c>
      <c r="I37" s="51" t="s">
        <v>107</v>
      </c>
      <c r="J37" s="51" t="s">
        <v>146</v>
      </c>
      <c r="K37" s="51" t="s">
        <v>187</v>
      </c>
      <c r="L37" s="55">
        <v>39255</v>
      </c>
      <c r="M37" s="51"/>
      <c r="N37" s="56" t="s">
        <v>197</v>
      </c>
      <c r="O37" s="51">
        <v>2012</v>
      </c>
      <c r="P37" s="56"/>
      <c r="Q37" s="51"/>
      <c r="R37" s="51" t="s">
        <v>201</v>
      </c>
      <c r="S37" s="51" t="s">
        <v>203</v>
      </c>
      <c r="T37" s="55">
        <v>45716</v>
      </c>
      <c r="U37" s="57">
        <f t="shared" si="1"/>
        <v>12.769444444444444</v>
      </c>
      <c r="V37" s="57">
        <v>20.5</v>
      </c>
      <c r="W37" s="51" t="s">
        <v>203</v>
      </c>
    </row>
    <row r="38" spans="1:23" s="58" customFormat="1" ht="12.75" x14ac:dyDescent="0.25">
      <c r="A38" s="51">
        <v>35</v>
      </c>
      <c r="B38" s="52" t="s">
        <v>55</v>
      </c>
      <c r="C38" s="53" t="s">
        <v>73</v>
      </c>
      <c r="D38" s="54">
        <v>23771</v>
      </c>
      <c r="E38" s="51" t="s">
        <v>230</v>
      </c>
      <c r="F38" s="51" t="s">
        <v>74</v>
      </c>
      <c r="G38" s="51" t="s">
        <v>77</v>
      </c>
      <c r="H38" s="51" t="s">
        <v>119</v>
      </c>
      <c r="I38" s="51" t="s">
        <v>108</v>
      </c>
      <c r="J38" s="51" t="s">
        <v>147</v>
      </c>
      <c r="K38" s="51" t="s">
        <v>188</v>
      </c>
      <c r="L38" s="55">
        <v>1993</v>
      </c>
      <c r="M38" s="51"/>
      <c r="N38" s="56">
        <v>38222</v>
      </c>
      <c r="O38" s="51">
        <v>2004</v>
      </c>
      <c r="P38" s="56"/>
      <c r="Q38" s="51"/>
      <c r="R38" s="51" t="s">
        <v>201</v>
      </c>
      <c r="S38" s="51" t="s">
        <v>203</v>
      </c>
      <c r="T38" s="55">
        <v>45716</v>
      </c>
      <c r="U38" s="57">
        <f t="shared" si="1"/>
        <v>20.513888888888889</v>
      </c>
      <c r="V38" s="57">
        <v>29</v>
      </c>
      <c r="W38" s="51" t="s">
        <v>203</v>
      </c>
    </row>
    <row r="39" spans="1:23" s="58" customFormat="1" ht="12.75" x14ac:dyDescent="0.25">
      <c r="A39" s="51">
        <v>36</v>
      </c>
      <c r="B39" s="52" t="s">
        <v>263</v>
      </c>
      <c r="C39" s="53" t="s">
        <v>73</v>
      </c>
      <c r="D39" s="54">
        <v>29967</v>
      </c>
      <c r="E39" s="51" t="s">
        <v>264</v>
      </c>
      <c r="F39" s="51" t="s">
        <v>74</v>
      </c>
      <c r="G39" s="51" t="s">
        <v>77</v>
      </c>
      <c r="H39" s="51" t="s">
        <v>119</v>
      </c>
      <c r="I39" s="51" t="s">
        <v>265</v>
      </c>
      <c r="J39" s="51" t="s">
        <v>266</v>
      </c>
      <c r="K39" s="51" t="s">
        <v>173</v>
      </c>
      <c r="L39" s="55">
        <v>41543</v>
      </c>
      <c r="M39" s="51"/>
      <c r="N39" s="56" t="s">
        <v>267</v>
      </c>
      <c r="O39" s="51">
        <v>2020</v>
      </c>
      <c r="P39" s="56"/>
      <c r="Q39" s="51"/>
      <c r="R39" s="51" t="s">
        <v>201</v>
      </c>
      <c r="S39" s="51" t="s">
        <v>203</v>
      </c>
      <c r="T39" s="55">
        <v>45716</v>
      </c>
      <c r="U39" s="57">
        <f t="shared" si="1"/>
        <v>4.2249999999999996</v>
      </c>
      <c r="V39" s="57">
        <v>9.5</v>
      </c>
      <c r="W39" s="51" t="s">
        <v>203</v>
      </c>
    </row>
    <row r="40" spans="1:23" s="58" customFormat="1" ht="12.75" x14ac:dyDescent="0.25">
      <c r="A40" s="51">
        <v>37</v>
      </c>
      <c r="B40" s="52" t="s">
        <v>269</v>
      </c>
      <c r="C40" s="53" t="s">
        <v>73</v>
      </c>
      <c r="D40" s="54">
        <v>31888</v>
      </c>
      <c r="E40" s="51" t="s">
        <v>270</v>
      </c>
      <c r="F40" s="51" t="s">
        <v>74</v>
      </c>
      <c r="G40" s="51" t="s">
        <v>77</v>
      </c>
      <c r="H40" s="51" t="s">
        <v>119</v>
      </c>
      <c r="I40" s="51" t="s">
        <v>271</v>
      </c>
      <c r="J40" s="51" t="s">
        <v>272</v>
      </c>
      <c r="K40" s="51" t="s">
        <v>193</v>
      </c>
      <c r="L40" s="55">
        <v>40854</v>
      </c>
      <c r="M40" s="55"/>
      <c r="N40" s="56">
        <v>44639</v>
      </c>
      <c r="O40" s="51">
        <v>2022</v>
      </c>
      <c r="P40" s="55"/>
      <c r="Q40" s="55"/>
      <c r="R40" s="51" t="s">
        <v>201</v>
      </c>
      <c r="S40" s="51" t="s">
        <v>203</v>
      </c>
      <c r="T40" s="55">
        <v>45716</v>
      </c>
      <c r="U40" s="57">
        <f t="shared" si="1"/>
        <v>2.9416666666666669</v>
      </c>
      <c r="V40" s="57">
        <v>9.1999999999999993</v>
      </c>
      <c r="W40" s="51" t="s">
        <v>203</v>
      </c>
    </row>
    <row r="41" spans="1:23" s="58" customFormat="1" ht="12.75" x14ac:dyDescent="0.25">
      <c r="A41" s="51">
        <v>38</v>
      </c>
      <c r="B41" s="52" t="s">
        <v>274</v>
      </c>
      <c r="C41" s="53" t="s">
        <v>73</v>
      </c>
      <c r="D41" s="54">
        <v>29169</v>
      </c>
      <c r="E41" s="51" t="s">
        <v>280</v>
      </c>
      <c r="F41" s="51" t="s">
        <v>75</v>
      </c>
      <c r="G41" s="51" t="s">
        <v>78</v>
      </c>
      <c r="H41" s="51" t="s">
        <v>120</v>
      </c>
      <c r="I41" s="51" t="s">
        <v>282</v>
      </c>
      <c r="J41" s="51" t="s">
        <v>284</v>
      </c>
      <c r="K41" s="51" t="s">
        <v>172</v>
      </c>
      <c r="L41" s="55">
        <v>41712</v>
      </c>
      <c r="M41" s="55"/>
      <c r="N41" s="56">
        <v>44494</v>
      </c>
      <c r="O41" s="51">
        <v>2021</v>
      </c>
      <c r="P41" s="55"/>
      <c r="Q41" s="55"/>
      <c r="R41" s="51" t="s">
        <v>201</v>
      </c>
      <c r="S41" s="51" t="s">
        <v>203</v>
      </c>
      <c r="T41" s="55">
        <v>45716</v>
      </c>
      <c r="U41" s="57">
        <f t="shared" si="1"/>
        <v>3.3416666666666668</v>
      </c>
      <c r="V41" s="57">
        <v>20.8</v>
      </c>
      <c r="W41" s="51" t="s">
        <v>203</v>
      </c>
    </row>
    <row r="42" spans="1:23" s="58" customFormat="1" ht="12.75" x14ac:dyDescent="0.25">
      <c r="A42" s="51">
        <v>39</v>
      </c>
      <c r="B42" s="52" t="s">
        <v>319</v>
      </c>
      <c r="C42" s="53" t="s">
        <v>73</v>
      </c>
      <c r="D42" s="54">
        <v>31279</v>
      </c>
      <c r="E42" s="66" t="s">
        <v>344</v>
      </c>
      <c r="F42" s="51" t="s">
        <v>320</v>
      </c>
      <c r="G42" s="51" t="s">
        <v>77</v>
      </c>
      <c r="H42" s="51" t="s">
        <v>120</v>
      </c>
      <c r="I42" s="51" t="s">
        <v>321</v>
      </c>
      <c r="J42" s="51" t="s">
        <v>322</v>
      </c>
      <c r="K42" s="51" t="s">
        <v>323</v>
      </c>
      <c r="L42" s="55">
        <v>43297</v>
      </c>
      <c r="M42" s="55"/>
      <c r="N42" s="56">
        <v>45208</v>
      </c>
      <c r="O42" s="51">
        <v>2023</v>
      </c>
      <c r="P42" s="55"/>
      <c r="Q42" s="55"/>
      <c r="R42" s="51" t="s">
        <v>201</v>
      </c>
      <c r="S42" s="51" t="s">
        <v>203</v>
      </c>
      <c r="T42" s="55">
        <v>45716</v>
      </c>
      <c r="U42" s="57">
        <f t="shared" si="1"/>
        <v>1.3861111111111111</v>
      </c>
      <c r="V42" s="57">
        <v>12.6</v>
      </c>
      <c r="W42" s="51" t="s">
        <v>203</v>
      </c>
    </row>
    <row r="43" spans="1:23" s="58" customFormat="1" ht="12.75" x14ac:dyDescent="0.25">
      <c r="A43" s="51">
        <v>40</v>
      </c>
      <c r="B43" s="52" t="s">
        <v>310</v>
      </c>
      <c r="C43" s="53" t="s">
        <v>311</v>
      </c>
      <c r="D43" s="54">
        <v>30037</v>
      </c>
      <c r="E43" s="51" t="s">
        <v>312</v>
      </c>
      <c r="F43" s="51" t="s">
        <v>74</v>
      </c>
      <c r="G43" s="51" t="s">
        <v>78</v>
      </c>
      <c r="H43" s="51" t="s">
        <v>120</v>
      </c>
      <c r="I43" s="51" t="s">
        <v>282</v>
      </c>
      <c r="J43" s="51" t="s">
        <v>313</v>
      </c>
      <c r="K43" s="51" t="s">
        <v>172</v>
      </c>
      <c r="L43" s="55">
        <v>43549</v>
      </c>
      <c r="M43" s="55"/>
      <c r="N43" s="56">
        <v>45166</v>
      </c>
      <c r="O43" s="51">
        <v>2023</v>
      </c>
      <c r="P43" s="55"/>
      <c r="Q43" s="55"/>
      <c r="R43" s="51" t="s">
        <v>200</v>
      </c>
      <c r="S43" s="51" t="s">
        <v>203</v>
      </c>
      <c r="T43" s="55">
        <v>45716</v>
      </c>
      <c r="U43" s="57">
        <f t="shared" si="1"/>
        <v>1.5</v>
      </c>
      <c r="V43" s="57">
        <v>14.2</v>
      </c>
      <c r="W43" s="51" t="s">
        <v>203</v>
      </c>
    </row>
    <row r="44" spans="1:23" s="62" customFormat="1" x14ac:dyDescent="0.25">
      <c r="A44" s="51">
        <v>41</v>
      </c>
      <c r="B44" s="52" t="s">
        <v>339</v>
      </c>
      <c r="C44" s="53" t="s">
        <v>73</v>
      </c>
      <c r="D44" s="54">
        <v>30416</v>
      </c>
      <c r="E44" s="51" t="s">
        <v>347</v>
      </c>
      <c r="F44" s="51" t="s">
        <v>320</v>
      </c>
      <c r="G44" s="51" t="s">
        <v>78</v>
      </c>
      <c r="H44" s="51" t="s">
        <v>120</v>
      </c>
      <c r="I44" s="51" t="s">
        <v>348</v>
      </c>
      <c r="J44" s="51" t="s">
        <v>355</v>
      </c>
      <c r="K44" s="60" t="s">
        <v>172</v>
      </c>
      <c r="L44" s="55">
        <v>43855</v>
      </c>
      <c r="M44" s="60"/>
      <c r="N44" s="56">
        <v>45302</v>
      </c>
      <c r="O44" s="51">
        <v>2024</v>
      </c>
      <c r="P44" s="60"/>
      <c r="Q44" s="60"/>
      <c r="R44" s="51" t="s">
        <v>201</v>
      </c>
      <c r="S44" s="60" t="s">
        <v>204</v>
      </c>
      <c r="T44" s="55">
        <v>45716</v>
      </c>
      <c r="U44" s="57">
        <f t="shared" si="1"/>
        <v>1.1305555555555555</v>
      </c>
      <c r="V44" s="60">
        <v>21</v>
      </c>
      <c r="W44" s="51" t="s">
        <v>203</v>
      </c>
    </row>
    <row r="45" spans="1:23" s="62" customFormat="1" ht="25.5" x14ac:dyDescent="0.25">
      <c r="A45" s="51">
        <v>42</v>
      </c>
      <c r="B45" s="52" t="s">
        <v>340</v>
      </c>
      <c r="C45" s="53" t="s">
        <v>73</v>
      </c>
      <c r="D45" s="54">
        <v>33584</v>
      </c>
      <c r="E45" s="51" t="s">
        <v>349</v>
      </c>
      <c r="F45" s="51" t="s">
        <v>320</v>
      </c>
      <c r="G45" s="51" t="s">
        <v>77</v>
      </c>
      <c r="H45" s="51" t="s">
        <v>120</v>
      </c>
      <c r="I45" s="51" t="s">
        <v>95</v>
      </c>
      <c r="J45" s="51" t="s">
        <v>356</v>
      </c>
      <c r="K45" s="60" t="s">
        <v>172</v>
      </c>
      <c r="L45" s="55">
        <v>45414</v>
      </c>
      <c r="M45" s="60"/>
      <c r="N45" s="56">
        <v>45404</v>
      </c>
      <c r="O45" s="51">
        <v>2024</v>
      </c>
      <c r="P45" s="60"/>
      <c r="Q45" s="60"/>
      <c r="R45" s="51" t="s">
        <v>201</v>
      </c>
      <c r="S45" s="60" t="s">
        <v>203</v>
      </c>
      <c r="T45" s="55">
        <v>45716</v>
      </c>
      <c r="U45" s="57">
        <f t="shared" si="1"/>
        <v>0.85</v>
      </c>
      <c r="V45" s="64">
        <v>6.6888888888888891</v>
      </c>
      <c r="W45" s="51" t="s">
        <v>203</v>
      </c>
    </row>
    <row r="46" spans="1:23" s="62" customFormat="1" x14ac:dyDescent="0.25">
      <c r="A46" s="51">
        <v>43</v>
      </c>
      <c r="B46" s="52" t="s">
        <v>373</v>
      </c>
      <c r="C46" s="53" t="s">
        <v>73</v>
      </c>
      <c r="D46" s="54">
        <v>30687</v>
      </c>
      <c r="E46" s="51" t="s">
        <v>374</v>
      </c>
      <c r="F46" s="51" t="s">
        <v>255</v>
      </c>
      <c r="G46" s="51" t="s">
        <v>77</v>
      </c>
      <c r="H46" s="51" t="s">
        <v>120</v>
      </c>
      <c r="I46" s="51" t="s">
        <v>375</v>
      </c>
      <c r="J46" s="51" t="s">
        <v>376</v>
      </c>
      <c r="K46" s="60" t="s">
        <v>377</v>
      </c>
      <c r="L46" s="55">
        <v>45493</v>
      </c>
      <c r="M46" s="60"/>
      <c r="N46" s="56">
        <v>39435</v>
      </c>
      <c r="O46" s="51">
        <v>2015</v>
      </c>
      <c r="P46" s="60"/>
      <c r="Q46" s="60"/>
      <c r="R46" s="51" t="s">
        <v>201</v>
      </c>
      <c r="S46" s="60" t="s">
        <v>203</v>
      </c>
      <c r="T46" s="55">
        <v>45716</v>
      </c>
      <c r="U46" s="57">
        <f t="shared" si="1"/>
        <v>17.191666666666666</v>
      </c>
      <c r="V46" s="64">
        <v>17</v>
      </c>
      <c r="W46" s="51" t="s">
        <v>203</v>
      </c>
    </row>
    <row r="47" spans="1:23" s="62" customFormat="1" x14ac:dyDescent="0.25">
      <c r="A47" s="51">
        <v>44</v>
      </c>
      <c r="B47" s="52" t="s">
        <v>378</v>
      </c>
      <c r="C47" s="53" t="s">
        <v>73</v>
      </c>
      <c r="D47" s="54">
        <v>30578</v>
      </c>
      <c r="E47" s="51" t="s">
        <v>379</v>
      </c>
      <c r="F47" s="51" t="s">
        <v>255</v>
      </c>
      <c r="G47" s="51" t="s">
        <v>77</v>
      </c>
      <c r="H47" s="51" t="s">
        <v>118</v>
      </c>
      <c r="I47" s="51" t="s">
        <v>289</v>
      </c>
      <c r="J47" s="51" t="s">
        <v>380</v>
      </c>
      <c r="K47" s="60" t="s">
        <v>317</v>
      </c>
      <c r="L47" s="55" t="s">
        <v>381</v>
      </c>
      <c r="M47" s="60"/>
      <c r="N47" s="56">
        <v>45621</v>
      </c>
      <c r="O47" s="51">
        <v>2024</v>
      </c>
      <c r="P47" s="60"/>
      <c r="Q47" s="60"/>
      <c r="R47" s="51" t="s">
        <v>201</v>
      </c>
      <c r="S47" s="60" t="s">
        <v>203</v>
      </c>
      <c r="T47" s="55">
        <v>45716</v>
      </c>
      <c r="U47" s="57">
        <f t="shared" si="1"/>
        <v>0.25833333333333336</v>
      </c>
      <c r="V47" s="64">
        <v>12</v>
      </c>
      <c r="W47" s="51" t="s">
        <v>203</v>
      </c>
    </row>
    <row r="52" spans="1:1" x14ac:dyDescent="0.25">
      <c r="A52" s="32" t="s">
        <v>318</v>
      </c>
    </row>
  </sheetData>
  <mergeCells count="2">
    <mergeCell ref="A2:W2"/>
    <mergeCell ref="A1:W1"/>
  </mergeCells>
  <pageMargins left="0.7" right="7.0000000000000007E-2" top="0.75" bottom="0.75" header="0.3" footer="0.3"/>
  <pageSetup paperSize="9" scale="3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BE2E-1994-4E62-A8C3-762ABD4BB188}">
  <dimension ref="A1:X43"/>
  <sheetViews>
    <sheetView tabSelected="1" topLeftCell="B1" zoomScale="90" zoomScaleNormal="90" workbookViewId="0">
      <pane xSplit="2" ySplit="2" topLeftCell="D21" activePane="bottomRight" state="frozen"/>
      <selection activeCell="B1" sqref="B1"/>
      <selection pane="topRight" activeCell="C1" sqref="C1"/>
      <selection pane="bottomLeft" activeCell="B3" sqref="B3"/>
      <selection pane="bottomRight" activeCell="F2" sqref="F2"/>
    </sheetView>
  </sheetViews>
  <sheetFormatPr defaultRowHeight="15" x14ac:dyDescent="0.25"/>
  <cols>
    <col min="1" max="1" width="6.42578125" style="26" bestFit="1" customWidth="1"/>
    <col min="2" max="2" width="4.85546875" style="26" bestFit="1" customWidth="1"/>
    <col min="3" max="3" width="35.42578125" style="18" bestFit="1" customWidth="1"/>
    <col min="4" max="4" width="17.28515625" style="26" bestFit="1" customWidth="1"/>
    <col min="5" max="5" width="13" style="26" bestFit="1" customWidth="1"/>
    <col min="6" max="6" width="12" style="26" bestFit="1" customWidth="1"/>
    <col min="7" max="7" width="13" style="26" bestFit="1" customWidth="1"/>
    <col min="8" max="8" width="7.7109375" style="26" bestFit="1" customWidth="1"/>
    <col min="9" max="9" width="34.28515625" style="26" bestFit="1" customWidth="1"/>
    <col min="10" max="10" width="36.140625" style="26" bestFit="1" customWidth="1"/>
    <col min="11" max="11" width="53" style="26" bestFit="1" customWidth="1"/>
    <col min="12" max="12" width="31.5703125" style="26" bestFit="1" customWidth="1"/>
    <col min="13" max="13" width="39.140625" style="26" bestFit="1" customWidth="1"/>
    <col min="14" max="14" width="57.7109375" style="26" bestFit="1" customWidth="1"/>
    <col min="15" max="15" width="27.5703125" style="26" bestFit="1" customWidth="1"/>
    <col min="16" max="16" width="15.7109375" style="26" bestFit="1" customWidth="1"/>
    <col min="17" max="17" width="17.140625" style="26" bestFit="1" customWidth="1"/>
    <col min="18" max="18" width="17.5703125" style="26" bestFit="1" customWidth="1"/>
    <col min="19" max="19" width="86.140625" style="26" bestFit="1" customWidth="1"/>
    <col min="20" max="20" width="32.7109375" style="26" bestFit="1" customWidth="1"/>
    <col min="21" max="21" width="9.5703125" style="26" bestFit="1" customWidth="1"/>
    <col min="22" max="22" width="28.42578125" style="26" bestFit="1" customWidth="1"/>
    <col min="23" max="23" width="45.5703125" style="26" bestFit="1" customWidth="1"/>
    <col min="24" max="24" width="113.85546875" style="26" bestFit="1" customWidth="1"/>
    <col min="25" max="16384" width="9.140625" style="26"/>
  </cols>
  <sheetData>
    <row r="1" spans="1:24" s="1" customFormat="1" ht="33" customHeight="1" x14ac:dyDescent="0.25">
      <c r="A1" s="71" t="s">
        <v>309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</row>
    <row r="2" spans="1:24" s="1" customFormat="1" ht="12.75" x14ac:dyDescent="0.25">
      <c r="A2" s="13" t="s">
        <v>6</v>
      </c>
      <c r="B2" s="13" t="s">
        <v>357</v>
      </c>
      <c r="C2" s="17" t="s">
        <v>7</v>
      </c>
      <c r="D2" s="13" t="s">
        <v>0</v>
      </c>
      <c r="E2" s="13" t="s">
        <v>382</v>
      </c>
      <c r="F2" s="13" t="s">
        <v>1</v>
      </c>
      <c r="G2" s="13" t="s">
        <v>16</v>
      </c>
      <c r="H2" s="13" t="s">
        <v>2</v>
      </c>
      <c r="I2" s="13" t="s">
        <v>17</v>
      </c>
      <c r="J2" s="13" t="s">
        <v>12</v>
      </c>
      <c r="K2" s="13" t="s">
        <v>3</v>
      </c>
      <c r="L2" s="13" t="s">
        <v>14</v>
      </c>
      <c r="M2" s="13" t="s">
        <v>8</v>
      </c>
      <c r="N2" s="13" t="s">
        <v>15</v>
      </c>
      <c r="O2" s="14" t="s">
        <v>10</v>
      </c>
      <c r="P2" s="14" t="s">
        <v>9</v>
      </c>
      <c r="Q2" s="14" t="s">
        <v>4</v>
      </c>
      <c r="R2" s="14" t="s">
        <v>11</v>
      </c>
      <c r="S2" s="13" t="s">
        <v>18</v>
      </c>
      <c r="T2" s="13" t="s">
        <v>19</v>
      </c>
      <c r="U2" s="13" t="s">
        <v>205</v>
      </c>
      <c r="V2" s="13" t="s">
        <v>13</v>
      </c>
      <c r="W2" s="14" t="s">
        <v>20</v>
      </c>
      <c r="X2" s="15" t="s">
        <v>5</v>
      </c>
    </row>
    <row r="3" spans="1:24" s="42" customFormat="1" ht="12.75" x14ac:dyDescent="0.25">
      <c r="A3" s="39"/>
      <c r="B3" s="39">
        <v>1</v>
      </c>
      <c r="C3" s="40" t="s">
        <v>23</v>
      </c>
      <c r="D3" s="39" t="s">
        <v>69</v>
      </c>
      <c r="E3" s="41">
        <v>24208</v>
      </c>
      <c r="F3" s="39" t="s">
        <v>209</v>
      </c>
      <c r="G3" s="39" t="s">
        <v>74</v>
      </c>
      <c r="H3" s="39" t="s">
        <v>77</v>
      </c>
      <c r="I3" s="39" t="s">
        <v>117</v>
      </c>
      <c r="J3" s="39" t="s">
        <v>81</v>
      </c>
      <c r="K3" s="39" t="s">
        <v>125</v>
      </c>
      <c r="L3" s="39" t="s">
        <v>160</v>
      </c>
      <c r="M3" s="43">
        <v>35763</v>
      </c>
      <c r="N3" s="43">
        <v>39965</v>
      </c>
      <c r="O3" s="44" t="s">
        <v>195</v>
      </c>
      <c r="P3" s="39">
        <v>1990</v>
      </c>
      <c r="Q3" s="44"/>
      <c r="R3" s="39"/>
      <c r="S3" s="39" t="s">
        <v>201</v>
      </c>
      <c r="T3" s="39" t="s">
        <v>203</v>
      </c>
      <c r="U3" s="43">
        <v>45473</v>
      </c>
      <c r="V3" s="37">
        <f>YEARFRAC(O3,U3)</f>
        <v>34.383333333333333</v>
      </c>
      <c r="W3" s="37">
        <v>36.383333333333333</v>
      </c>
      <c r="X3" s="39" t="s">
        <v>203</v>
      </c>
    </row>
    <row r="4" spans="1:24" s="42" customFormat="1" ht="12.75" x14ac:dyDescent="0.25">
      <c r="A4" s="39"/>
      <c r="B4" s="39">
        <v>2</v>
      </c>
      <c r="C4" s="40" t="s">
        <v>24</v>
      </c>
      <c r="D4" s="39" t="s">
        <v>69</v>
      </c>
      <c r="E4" s="41">
        <v>23942</v>
      </c>
      <c r="F4" s="39" t="s">
        <v>210</v>
      </c>
      <c r="G4" s="39" t="s">
        <v>74</v>
      </c>
      <c r="H4" s="39" t="s">
        <v>77</v>
      </c>
      <c r="I4" s="39" t="s">
        <v>117</v>
      </c>
      <c r="J4" s="39" t="s">
        <v>82</v>
      </c>
      <c r="K4" s="39" t="s">
        <v>126</v>
      </c>
      <c r="L4" s="39" t="s">
        <v>161</v>
      </c>
      <c r="M4" s="43">
        <v>39046</v>
      </c>
      <c r="N4" s="43">
        <v>41821</v>
      </c>
      <c r="O4" s="44">
        <v>35101</v>
      </c>
      <c r="P4" s="39">
        <v>1996</v>
      </c>
      <c r="Q4" s="44"/>
      <c r="R4" s="39"/>
      <c r="S4" s="39" t="s">
        <v>200</v>
      </c>
      <c r="T4" s="39" t="s">
        <v>203</v>
      </c>
      <c r="U4" s="43">
        <v>45473</v>
      </c>
      <c r="V4" s="37">
        <f>YEARFRAC(O4,U4)</f>
        <v>28.4</v>
      </c>
      <c r="W4" s="37">
        <v>34.200000000000003</v>
      </c>
      <c r="X4" s="39" t="s">
        <v>203</v>
      </c>
    </row>
    <row r="5" spans="1:24" s="42" customFormat="1" ht="12.75" x14ac:dyDescent="0.25">
      <c r="A5" s="39"/>
      <c r="B5" s="39">
        <v>3</v>
      </c>
      <c r="C5" s="40" t="s">
        <v>25</v>
      </c>
      <c r="D5" s="39" t="s">
        <v>69</v>
      </c>
      <c r="E5" s="41">
        <v>21373</v>
      </c>
      <c r="F5" s="39" t="s">
        <v>211</v>
      </c>
      <c r="G5" s="39" t="s">
        <v>255</v>
      </c>
      <c r="H5" s="39" t="s">
        <v>78</v>
      </c>
      <c r="I5" s="39" t="s">
        <v>117</v>
      </c>
      <c r="J5" s="39" t="s">
        <v>83</v>
      </c>
      <c r="K5" s="39" t="s">
        <v>127</v>
      </c>
      <c r="L5" s="39" t="s">
        <v>162</v>
      </c>
      <c r="M5" s="43">
        <v>1986</v>
      </c>
      <c r="N5" s="43">
        <v>41122</v>
      </c>
      <c r="O5" s="44">
        <v>35063</v>
      </c>
      <c r="P5" s="39">
        <v>1995</v>
      </c>
      <c r="Q5" s="44"/>
      <c r="R5" s="39"/>
      <c r="S5" s="39" t="s">
        <v>200</v>
      </c>
      <c r="T5" s="39" t="s">
        <v>203</v>
      </c>
      <c r="U5" s="43">
        <v>45473</v>
      </c>
      <c r="V5" s="37">
        <f>YEARFRAC(O5,U5)</f>
        <v>28.5</v>
      </c>
      <c r="W5" s="37">
        <v>40.400000000000006</v>
      </c>
      <c r="X5" s="39" t="s">
        <v>203</v>
      </c>
    </row>
    <row r="6" spans="1:24" s="42" customFormat="1" ht="12.75" x14ac:dyDescent="0.25">
      <c r="A6" s="39"/>
      <c r="B6" s="39">
        <v>4</v>
      </c>
      <c r="C6" s="40" t="s">
        <v>26</v>
      </c>
      <c r="D6" s="39" t="s">
        <v>69</v>
      </c>
      <c r="E6" s="41">
        <v>23265</v>
      </c>
      <c r="F6" s="39" t="s">
        <v>212</v>
      </c>
      <c r="G6" s="39" t="s">
        <v>75</v>
      </c>
      <c r="H6" s="39" t="s">
        <v>77</v>
      </c>
      <c r="I6" s="39" t="s">
        <v>117</v>
      </c>
      <c r="J6" s="39" t="s">
        <v>82</v>
      </c>
      <c r="K6" s="39" t="s">
        <v>128</v>
      </c>
      <c r="L6" s="39" t="s">
        <v>164</v>
      </c>
      <c r="M6" s="43">
        <v>41363</v>
      </c>
      <c r="N6" s="43">
        <v>42846</v>
      </c>
      <c r="O6" s="44">
        <v>35704</v>
      </c>
      <c r="P6" s="39">
        <v>1997</v>
      </c>
      <c r="Q6" s="44"/>
      <c r="R6" s="39"/>
      <c r="S6" s="39" t="s">
        <v>200</v>
      </c>
      <c r="T6" s="39" t="s">
        <v>203</v>
      </c>
      <c r="U6" s="43">
        <v>45473</v>
      </c>
      <c r="V6" s="37">
        <f t="shared" ref="V6:V7" si="0">YEARFRAC(O6,U6)</f>
        <v>26.747222222222224</v>
      </c>
      <c r="W6" s="37">
        <v>38.700000000000003</v>
      </c>
      <c r="X6" s="39" t="s">
        <v>203</v>
      </c>
    </row>
    <row r="7" spans="1:24" s="42" customFormat="1" ht="12.75" x14ac:dyDescent="0.25">
      <c r="A7" s="39"/>
      <c r="B7" s="39">
        <v>5</v>
      </c>
      <c r="C7" s="40" t="s">
        <v>27</v>
      </c>
      <c r="D7" s="39" t="s">
        <v>69</v>
      </c>
      <c r="E7" s="41">
        <v>23265</v>
      </c>
      <c r="F7" s="39" t="s">
        <v>213</v>
      </c>
      <c r="G7" s="39" t="s">
        <v>74</v>
      </c>
      <c r="H7" s="39" t="s">
        <v>77</v>
      </c>
      <c r="I7" s="39" t="s">
        <v>117</v>
      </c>
      <c r="J7" s="39" t="s">
        <v>84</v>
      </c>
      <c r="K7" s="39" t="s">
        <v>129</v>
      </c>
      <c r="L7" s="39" t="s">
        <v>165</v>
      </c>
      <c r="M7" s="43">
        <v>34095</v>
      </c>
      <c r="N7" s="43">
        <v>39264</v>
      </c>
      <c r="O7" s="44">
        <v>35062</v>
      </c>
      <c r="P7" s="39">
        <v>1995</v>
      </c>
      <c r="Q7" s="44"/>
      <c r="R7" s="39"/>
      <c r="S7" s="39" t="s">
        <v>200</v>
      </c>
      <c r="T7" s="39" t="s">
        <v>203</v>
      </c>
      <c r="U7" s="43">
        <v>45473</v>
      </c>
      <c r="V7" s="37">
        <f t="shared" si="0"/>
        <v>28.502777777777776</v>
      </c>
      <c r="W7" s="37">
        <v>30.866666666666699</v>
      </c>
      <c r="X7" s="39" t="s">
        <v>203</v>
      </c>
    </row>
    <row r="8" spans="1:24" s="42" customFormat="1" ht="12.75" x14ac:dyDescent="0.25">
      <c r="A8" s="39"/>
      <c r="B8" s="39">
        <v>6</v>
      </c>
      <c r="C8" s="40" t="s">
        <v>279</v>
      </c>
      <c r="D8" s="39" t="s">
        <v>69</v>
      </c>
      <c r="E8" s="41">
        <v>27538</v>
      </c>
      <c r="F8" s="39" t="s">
        <v>299</v>
      </c>
      <c r="G8" s="39" t="s">
        <v>74</v>
      </c>
      <c r="H8" s="39" t="s">
        <v>78</v>
      </c>
      <c r="I8" s="39" t="s">
        <v>117</v>
      </c>
      <c r="J8" s="39" t="s">
        <v>300</v>
      </c>
      <c r="K8" s="39" t="s">
        <v>126</v>
      </c>
      <c r="L8" s="39" t="s">
        <v>182</v>
      </c>
      <c r="M8" s="44">
        <v>41671</v>
      </c>
      <c r="N8" s="39"/>
      <c r="O8" s="44">
        <v>44490</v>
      </c>
      <c r="P8" s="39">
        <v>2021</v>
      </c>
      <c r="Q8" s="44"/>
      <c r="R8" s="39"/>
      <c r="S8" s="39" t="s">
        <v>201</v>
      </c>
      <c r="T8" s="39" t="s">
        <v>204</v>
      </c>
      <c r="U8" s="43">
        <v>45473</v>
      </c>
      <c r="V8" s="37">
        <f>YEARFRAC(O8,U8)</f>
        <v>2.6916666666666669</v>
      </c>
      <c r="W8" s="37">
        <v>24.7</v>
      </c>
      <c r="X8" s="39" t="s">
        <v>203</v>
      </c>
    </row>
    <row r="9" spans="1:24" s="42" customFormat="1" ht="12.75" x14ac:dyDescent="0.25">
      <c r="A9" s="39"/>
      <c r="B9" s="39">
        <v>7</v>
      </c>
      <c r="C9" s="40" t="s">
        <v>258</v>
      </c>
      <c r="D9" s="39" t="s">
        <v>69</v>
      </c>
      <c r="E9" s="41">
        <v>22906</v>
      </c>
      <c r="F9" s="39" t="s">
        <v>259</v>
      </c>
      <c r="G9" s="39" t="s">
        <v>74</v>
      </c>
      <c r="H9" s="39" t="s">
        <v>77</v>
      </c>
      <c r="I9" s="39" t="s">
        <v>328</v>
      </c>
      <c r="J9" s="39" t="s">
        <v>327</v>
      </c>
      <c r="K9" s="39" t="s">
        <v>261</v>
      </c>
      <c r="L9" s="39" t="s">
        <v>163</v>
      </c>
      <c r="M9" s="43">
        <v>35422</v>
      </c>
      <c r="N9" s="39"/>
      <c r="O9" s="44" t="s">
        <v>262</v>
      </c>
      <c r="P9" s="39">
        <v>2021</v>
      </c>
      <c r="Q9" s="44"/>
      <c r="R9" s="39"/>
      <c r="S9" s="39" t="s">
        <v>200</v>
      </c>
      <c r="T9" s="39" t="s">
        <v>203</v>
      </c>
      <c r="U9" s="43">
        <v>45473</v>
      </c>
      <c r="V9" s="37">
        <f t="shared" ref="V9:V43" si="1">YEARFRAC(O9,U9)</f>
        <v>3.45</v>
      </c>
      <c r="W9" s="37">
        <v>26.3</v>
      </c>
      <c r="X9" s="39" t="s">
        <v>203</v>
      </c>
    </row>
    <row r="10" spans="1:24" s="42" customFormat="1" ht="12.75" x14ac:dyDescent="0.25">
      <c r="A10" s="39"/>
      <c r="B10" s="39">
        <v>8</v>
      </c>
      <c r="C10" s="40" t="s">
        <v>253</v>
      </c>
      <c r="D10" s="39" t="s">
        <v>69</v>
      </c>
      <c r="E10" s="41">
        <v>26949</v>
      </c>
      <c r="F10" s="39" t="s">
        <v>254</v>
      </c>
      <c r="G10" s="39" t="s">
        <v>255</v>
      </c>
      <c r="H10" s="39" t="s">
        <v>77</v>
      </c>
      <c r="I10" s="39" t="s">
        <v>118</v>
      </c>
      <c r="J10" s="39" t="s">
        <v>256</v>
      </c>
      <c r="K10" s="39" t="s">
        <v>126</v>
      </c>
      <c r="L10" s="39" t="s">
        <v>166</v>
      </c>
      <c r="M10" s="43">
        <v>37681</v>
      </c>
      <c r="N10" s="39"/>
      <c r="O10" s="44" t="s">
        <v>257</v>
      </c>
      <c r="P10" s="39">
        <v>2021</v>
      </c>
      <c r="Q10" s="44"/>
      <c r="R10" s="39"/>
      <c r="S10" s="39" t="s">
        <v>201</v>
      </c>
      <c r="T10" s="39" t="s">
        <v>203</v>
      </c>
      <c r="U10" s="43">
        <v>45473</v>
      </c>
      <c r="V10" s="37">
        <f t="shared" si="1"/>
        <v>3.1527777777777777</v>
      </c>
      <c r="W10" s="37">
        <v>16.8</v>
      </c>
      <c r="X10" s="39" t="s">
        <v>203</v>
      </c>
    </row>
    <row r="11" spans="1:24" s="42" customFormat="1" ht="12.75" x14ac:dyDescent="0.25">
      <c r="A11" s="39"/>
      <c r="B11" s="39">
        <v>9</v>
      </c>
      <c r="C11" s="40" t="s">
        <v>32</v>
      </c>
      <c r="D11" s="39" t="s">
        <v>69</v>
      </c>
      <c r="E11" s="41">
        <v>26392</v>
      </c>
      <c r="F11" s="39" t="s">
        <v>241</v>
      </c>
      <c r="G11" s="39" t="s">
        <v>74</v>
      </c>
      <c r="H11" s="39" t="s">
        <v>78</v>
      </c>
      <c r="I11" s="39" t="s">
        <v>117</v>
      </c>
      <c r="J11" s="39" t="s">
        <v>83</v>
      </c>
      <c r="K11" s="39" t="s">
        <v>134</v>
      </c>
      <c r="L11" s="39" t="s">
        <v>171</v>
      </c>
      <c r="M11" s="43">
        <v>36522</v>
      </c>
      <c r="N11" s="44">
        <v>44287</v>
      </c>
      <c r="O11" s="44">
        <v>38474</v>
      </c>
      <c r="P11" s="39">
        <v>2005</v>
      </c>
      <c r="Q11" s="44"/>
      <c r="R11" s="39"/>
      <c r="S11" s="39" t="s">
        <v>201</v>
      </c>
      <c r="T11" s="39" t="s">
        <v>203</v>
      </c>
      <c r="U11" s="43">
        <v>45473</v>
      </c>
      <c r="V11" s="37">
        <f>YEARFRAC(O11,U11)</f>
        <v>19.161111111111111</v>
      </c>
      <c r="W11" s="37">
        <v>25.8</v>
      </c>
      <c r="X11" s="39" t="s">
        <v>203</v>
      </c>
    </row>
    <row r="12" spans="1:24" s="42" customFormat="1" ht="12.75" x14ac:dyDescent="0.25">
      <c r="A12" s="39"/>
      <c r="B12" s="39">
        <v>10</v>
      </c>
      <c r="C12" s="40" t="s">
        <v>34</v>
      </c>
      <c r="D12" s="39" t="s">
        <v>69</v>
      </c>
      <c r="E12" s="41">
        <v>26257</v>
      </c>
      <c r="F12" s="39" t="s">
        <v>239</v>
      </c>
      <c r="G12" s="39" t="s">
        <v>74</v>
      </c>
      <c r="H12" s="39" t="s">
        <v>77</v>
      </c>
      <c r="I12" s="39" t="s">
        <v>117</v>
      </c>
      <c r="J12" s="39" t="s">
        <v>91</v>
      </c>
      <c r="K12" s="39" t="s">
        <v>134</v>
      </c>
      <c r="L12" s="39" t="s">
        <v>173</v>
      </c>
      <c r="M12" s="43">
        <v>40336</v>
      </c>
      <c r="N12" s="44">
        <v>44287</v>
      </c>
      <c r="O12" s="44">
        <v>35143</v>
      </c>
      <c r="P12" s="39">
        <v>1996</v>
      </c>
      <c r="Q12" s="44"/>
      <c r="R12" s="39"/>
      <c r="S12" s="39" t="s">
        <v>201</v>
      </c>
      <c r="T12" s="39" t="s">
        <v>203</v>
      </c>
      <c r="U12" s="43">
        <v>45473</v>
      </c>
      <c r="V12" s="37">
        <f t="shared" si="1"/>
        <v>28.280555555555555</v>
      </c>
      <c r="W12" s="37">
        <v>28.980555555555554</v>
      </c>
      <c r="X12" s="39" t="s">
        <v>203</v>
      </c>
    </row>
    <row r="13" spans="1:24" s="42" customFormat="1" ht="12.75" x14ac:dyDescent="0.25">
      <c r="A13" s="39"/>
      <c r="B13" s="39">
        <v>11</v>
      </c>
      <c r="C13" s="40" t="s">
        <v>45</v>
      </c>
      <c r="D13" s="39" t="s">
        <v>69</v>
      </c>
      <c r="E13" s="41">
        <v>28771</v>
      </c>
      <c r="F13" s="39" t="s">
        <v>232</v>
      </c>
      <c r="G13" s="39" t="s">
        <v>74</v>
      </c>
      <c r="H13" s="39" t="s">
        <v>77</v>
      </c>
      <c r="I13" s="39" t="s">
        <v>120</v>
      </c>
      <c r="J13" s="39" t="s">
        <v>99</v>
      </c>
      <c r="K13" s="39" t="s">
        <v>129</v>
      </c>
      <c r="L13" s="39" t="s">
        <v>165</v>
      </c>
      <c r="M13" s="43">
        <v>39944</v>
      </c>
      <c r="N13" s="44">
        <v>44652</v>
      </c>
      <c r="O13" s="44" t="s">
        <v>196</v>
      </c>
      <c r="P13" s="39">
        <v>2019</v>
      </c>
      <c r="Q13" s="43"/>
      <c r="R13" s="39"/>
      <c r="S13" s="39" t="s">
        <v>201</v>
      </c>
      <c r="T13" s="39" t="s">
        <v>203</v>
      </c>
      <c r="U13" s="43">
        <v>45473</v>
      </c>
      <c r="V13" s="37">
        <f t="shared" si="1"/>
        <v>5.2277777777777779</v>
      </c>
      <c r="W13" s="37">
        <v>17.2</v>
      </c>
      <c r="X13" s="39" t="s">
        <v>203</v>
      </c>
    </row>
    <row r="14" spans="1:24" s="42" customFormat="1" ht="12.75" x14ac:dyDescent="0.25">
      <c r="A14" s="39"/>
      <c r="B14" s="39">
        <v>12</v>
      </c>
      <c r="C14" s="40" t="s">
        <v>36</v>
      </c>
      <c r="D14" s="39" t="s">
        <v>69</v>
      </c>
      <c r="E14" s="41">
        <v>27104</v>
      </c>
      <c r="F14" s="39" t="s">
        <v>237</v>
      </c>
      <c r="G14" s="39" t="s">
        <v>255</v>
      </c>
      <c r="H14" s="39" t="s">
        <v>78</v>
      </c>
      <c r="I14" s="39" t="s">
        <v>117</v>
      </c>
      <c r="J14" s="39" t="s">
        <v>93</v>
      </c>
      <c r="K14" s="39" t="s">
        <v>135</v>
      </c>
      <c r="L14" s="39" t="s">
        <v>175</v>
      </c>
      <c r="M14" s="43">
        <v>40148</v>
      </c>
      <c r="N14" s="44">
        <v>44652</v>
      </c>
      <c r="O14" s="44">
        <v>40269</v>
      </c>
      <c r="P14" s="39">
        <v>2010</v>
      </c>
      <c r="Q14" s="44"/>
      <c r="R14" s="39"/>
      <c r="S14" s="39" t="s">
        <v>201</v>
      </c>
      <c r="T14" s="39" t="s">
        <v>204</v>
      </c>
      <c r="U14" s="43">
        <v>45473</v>
      </c>
      <c r="V14" s="37">
        <f t="shared" si="1"/>
        <v>14.247222222222222</v>
      </c>
      <c r="W14" s="37">
        <v>26.366666666666699</v>
      </c>
      <c r="X14" s="39" t="s">
        <v>203</v>
      </c>
    </row>
    <row r="15" spans="1:24" s="42" customFormat="1" ht="12.75" x14ac:dyDescent="0.25">
      <c r="A15" s="39"/>
      <c r="B15" s="39">
        <v>13</v>
      </c>
      <c r="C15" s="40" t="s">
        <v>302</v>
      </c>
      <c r="D15" s="39" t="s">
        <v>69</v>
      </c>
      <c r="E15" s="41">
        <v>24024</v>
      </c>
      <c r="F15" s="39" t="s">
        <v>303</v>
      </c>
      <c r="G15" s="39" t="s">
        <v>75</v>
      </c>
      <c r="H15" s="39" t="s">
        <v>77</v>
      </c>
      <c r="I15" s="39" t="s">
        <v>120</v>
      </c>
      <c r="J15" s="39" t="s">
        <v>304</v>
      </c>
      <c r="K15" s="39" t="s">
        <v>306</v>
      </c>
      <c r="L15" s="39" t="s">
        <v>305</v>
      </c>
      <c r="M15" s="43">
        <v>38409</v>
      </c>
      <c r="N15" s="44"/>
      <c r="O15" s="44">
        <v>45051</v>
      </c>
      <c r="P15" s="39">
        <v>2023</v>
      </c>
      <c r="Q15" s="44"/>
      <c r="R15" s="39"/>
      <c r="S15" s="39" t="s">
        <v>200</v>
      </c>
      <c r="T15" s="39" t="s">
        <v>203</v>
      </c>
      <c r="U15" s="43">
        <v>45473</v>
      </c>
      <c r="V15" s="37">
        <f t="shared" si="1"/>
        <v>1.1527777777777777</v>
      </c>
      <c r="W15" s="37">
        <v>31.7</v>
      </c>
      <c r="X15" s="39" t="s">
        <v>203</v>
      </c>
    </row>
    <row r="16" spans="1:24" s="42" customFormat="1" ht="12.75" x14ac:dyDescent="0.25">
      <c r="A16" s="39"/>
      <c r="B16" s="39">
        <v>14</v>
      </c>
      <c r="C16" s="40" t="s">
        <v>307</v>
      </c>
      <c r="D16" s="39" t="s">
        <v>69</v>
      </c>
      <c r="E16" s="41">
        <v>26120</v>
      </c>
      <c r="F16" s="39" t="s">
        <v>308</v>
      </c>
      <c r="G16" s="39" t="s">
        <v>74</v>
      </c>
      <c r="H16" s="39" t="s">
        <v>78</v>
      </c>
      <c r="I16" s="39" t="s">
        <v>120</v>
      </c>
      <c r="J16" s="39" t="s">
        <v>83</v>
      </c>
      <c r="K16" s="39" t="s">
        <v>134</v>
      </c>
      <c r="L16" s="39" t="s">
        <v>171</v>
      </c>
      <c r="M16" s="43">
        <v>42893</v>
      </c>
      <c r="N16" s="44"/>
      <c r="O16" s="44">
        <v>44758</v>
      </c>
      <c r="P16" s="39">
        <v>2022</v>
      </c>
      <c r="Q16" s="44"/>
      <c r="R16" s="39"/>
      <c r="S16" s="39" t="s">
        <v>201</v>
      </c>
      <c r="T16" s="39" t="s">
        <v>203</v>
      </c>
      <c r="U16" s="43">
        <v>45473</v>
      </c>
      <c r="V16" s="37">
        <f t="shared" si="1"/>
        <v>1.9555555555555555</v>
      </c>
      <c r="W16" s="37">
        <v>29.4</v>
      </c>
      <c r="X16" s="39" t="s">
        <v>203</v>
      </c>
    </row>
    <row r="17" spans="1:24" s="42" customFormat="1" ht="12.75" x14ac:dyDescent="0.25">
      <c r="A17" s="39"/>
      <c r="B17" s="39">
        <v>15</v>
      </c>
      <c r="C17" s="40" t="s">
        <v>314</v>
      </c>
      <c r="D17" s="39" t="s">
        <v>69</v>
      </c>
      <c r="E17" s="41">
        <v>22408</v>
      </c>
      <c r="F17" s="39" t="s">
        <v>315</v>
      </c>
      <c r="G17" s="39" t="s">
        <v>74</v>
      </c>
      <c r="H17" s="39" t="s">
        <v>77</v>
      </c>
      <c r="I17" s="39" t="s">
        <v>118</v>
      </c>
      <c r="J17" s="39" t="s">
        <v>316</v>
      </c>
      <c r="K17" s="39" t="s">
        <v>135</v>
      </c>
      <c r="L17" s="39" t="s">
        <v>317</v>
      </c>
      <c r="M17" s="43">
        <v>33327</v>
      </c>
      <c r="N17" s="44"/>
      <c r="O17" s="44">
        <v>45139</v>
      </c>
      <c r="P17" s="39">
        <v>2023</v>
      </c>
      <c r="Q17" s="44"/>
      <c r="R17" s="39"/>
      <c r="S17" s="39" t="s">
        <v>200</v>
      </c>
      <c r="T17" s="39" t="s">
        <v>203</v>
      </c>
      <c r="U17" s="43">
        <v>45473</v>
      </c>
      <c r="V17" s="37">
        <f t="shared" si="1"/>
        <v>0.91388888888888886</v>
      </c>
      <c r="W17" s="45">
        <v>39.299999999999997</v>
      </c>
      <c r="X17" s="39" t="s">
        <v>203</v>
      </c>
    </row>
    <row r="18" spans="1:24" s="42" customFormat="1" x14ac:dyDescent="0.25">
      <c r="A18" s="39"/>
      <c r="B18" s="39">
        <v>16</v>
      </c>
      <c r="C18" s="40" t="s">
        <v>334</v>
      </c>
      <c r="D18" s="39" t="s">
        <v>335</v>
      </c>
      <c r="E18" s="41">
        <v>28734</v>
      </c>
      <c r="F18" s="46" t="s">
        <v>341</v>
      </c>
      <c r="G18" s="39" t="s">
        <v>76</v>
      </c>
      <c r="H18" s="39" t="s">
        <v>77</v>
      </c>
      <c r="I18" s="39" t="s">
        <v>120</v>
      </c>
      <c r="J18" s="39" t="s">
        <v>342</v>
      </c>
      <c r="K18" s="39" t="s">
        <v>350</v>
      </c>
      <c r="L18" s="46" t="s">
        <v>351</v>
      </c>
      <c r="M18" s="43">
        <v>39969</v>
      </c>
      <c r="N18" s="46"/>
      <c r="O18" s="44">
        <v>45458</v>
      </c>
      <c r="P18" s="39">
        <v>2024</v>
      </c>
      <c r="Q18" s="46"/>
      <c r="R18" s="46"/>
      <c r="S18" s="39" t="s">
        <v>201</v>
      </c>
      <c r="T18" s="46" t="s">
        <v>204</v>
      </c>
      <c r="U18" s="43">
        <v>45473</v>
      </c>
      <c r="V18" s="37">
        <f>YEARFRAC(O18,U18)</f>
        <v>4.1666666666666664E-2</v>
      </c>
      <c r="W18" s="46">
        <v>20.2</v>
      </c>
      <c r="X18" s="39" t="s">
        <v>203</v>
      </c>
    </row>
    <row r="19" spans="1:24" s="42" customFormat="1" ht="12.75" x14ac:dyDescent="0.25">
      <c r="A19" s="39"/>
      <c r="B19" s="39">
        <v>17</v>
      </c>
      <c r="C19" s="40" t="s">
        <v>33</v>
      </c>
      <c r="D19" s="39" t="s">
        <v>72</v>
      </c>
      <c r="E19" s="41">
        <v>23885</v>
      </c>
      <c r="F19" s="39" t="s">
        <v>240</v>
      </c>
      <c r="G19" s="39" t="s">
        <v>74</v>
      </c>
      <c r="H19" s="39" t="s">
        <v>77</v>
      </c>
      <c r="I19" s="39" t="s">
        <v>117</v>
      </c>
      <c r="J19" s="39" t="s">
        <v>90</v>
      </c>
      <c r="K19" s="39" t="s">
        <v>126</v>
      </c>
      <c r="L19" s="39" t="s">
        <v>172</v>
      </c>
      <c r="M19" s="43">
        <v>33797</v>
      </c>
      <c r="N19" s="44">
        <v>41275</v>
      </c>
      <c r="O19" s="44">
        <v>39235</v>
      </c>
      <c r="P19" s="39">
        <v>2007</v>
      </c>
      <c r="Q19" s="44"/>
      <c r="R19" s="39"/>
      <c r="S19" s="39" t="s">
        <v>200</v>
      </c>
      <c r="T19" s="39" t="s">
        <v>203</v>
      </c>
      <c r="U19" s="43">
        <v>45473</v>
      </c>
      <c r="V19" s="37">
        <f t="shared" si="1"/>
        <v>17.077777777777779</v>
      </c>
      <c r="W19" s="37">
        <v>33.700000000000003</v>
      </c>
      <c r="X19" s="39" t="s">
        <v>203</v>
      </c>
    </row>
    <row r="20" spans="1:24" s="42" customFormat="1" ht="12.75" x14ac:dyDescent="0.25">
      <c r="A20" s="39"/>
      <c r="B20" s="39">
        <v>18</v>
      </c>
      <c r="C20" s="40" t="s">
        <v>35</v>
      </c>
      <c r="D20" s="39" t="s">
        <v>72</v>
      </c>
      <c r="E20" s="41">
        <v>26622</v>
      </c>
      <c r="F20" s="39" t="s">
        <v>238</v>
      </c>
      <c r="G20" s="39" t="s">
        <v>74</v>
      </c>
      <c r="H20" s="39" t="s">
        <v>78</v>
      </c>
      <c r="I20" s="39" t="s">
        <v>117</v>
      </c>
      <c r="J20" s="39" t="s">
        <v>92</v>
      </c>
      <c r="K20" s="39" t="s">
        <v>126</v>
      </c>
      <c r="L20" s="39" t="s">
        <v>174</v>
      </c>
      <c r="M20" s="43">
        <v>39629</v>
      </c>
      <c r="N20" s="43"/>
      <c r="O20" s="44">
        <v>40026</v>
      </c>
      <c r="P20" s="39">
        <v>2009</v>
      </c>
      <c r="Q20" s="43">
        <v>45418</v>
      </c>
      <c r="R20" s="39">
        <v>2024</v>
      </c>
      <c r="S20" s="39" t="s">
        <v>201</v>
      </c>
      <c r="T20" s="39" t="s">
        <v>203</v>
      </c>
      <c r="U20" s="43">
        <v>45418</v>
      </c>
      <c r="V20" s="37">
        <f t="shared" si="1"/>
        <v>14.763888888888889</v>
      </c>
      <c r="W20" s="37">
        <v>24</v>
      </c>
      <c r="X20" s="39" t="s">
        <v>203</v>
      </c>
    </row>
    <row r="21" spans="1:24" s="42" customFormat="1" ht="12.75" x14ac:dyDescent="0.25">
      <c r="A21" s="39"/>
      <c r="B21" s="39">
        <v>19</v>
      </c>
      <c r="C21" s="40" t="s">
        <v>38</v>
      </c>
      <c r="D21" s="39" t="s">
        <v>72</v>
      </c>
      <c r="E21" s="41">
        <v>27271</v>
      </c>
      <c r="F21" s="39" t="s">
        <v>235</v>
      </c>
      <c r="G21" s="39" t="s">
        <v>74</v>
      </c>
      <c r="H21" s="39" t="s">
        <v>77</v>
      </c>
      <c r="I21" s="39" t="s">
        <v>117</v>
      </c>
      <c r="J21" s="39" t="s">
        <v>95</v>
      </c>
      <c r="K21" s="39" t="s">
        <v>126</v>
      </c>
      <c r="L21" s="39" t="s">
        <v>172</v>
      </c>
      <c r="M21" s="43">
        <v>40575</v>
      </c>
      <c r="N21" s="43">
        <v>43191</v>
      </c>
      <c r="O21" s="44">
        <v>40634</v>
      </c>
      <c r="P21" s="39">
        <v>2011</v>
      </c>
      <c r="Q21" s="44"/>
      <c r="R21" s="39"/>
      <c r="S21" s="39" t="s">
        <v>201</v>
      </c>
      <c r="T21" s="39" t="s">
        <v>203</v>
      </c>
      <c r="U21" s="43">
        <v>45473</v>
      </c>
      <c r="V21" s="37">
        <f t="shared" si="1"/>
        <v>13.247222222222222</v>
      </c>
      <c r="W21" s="37">
        <v>24.366666666666699</v>
      </c>
      <c r="X21" s="39" t="s">
        <v>203</v>
      </c>
    </row>
    <row r="22" spans="1:24" s="42" customFormat="1" ht="12.75" x14ac:dyDescent="0.25">
      <c r="A22" s="39"/>
      <c r="B22" s="39">
        <v>20</v>
      </c>
      <c r="C22" s="40" t="s">
        <v>40</v>
      </c>
      <c r="D22" s="39" t="s">
        <v>72</v>
      </c>
      <c r="E22" s="41">
        <v>28230</v>
      </c>
      <c r="F22" s="39" t="s">
        <v>248</v>
      </c>
      <c r="G22" s="39" t="s">
        <v>76</v>
      </c>
      <c r="H22" s="39" t="s">
        <v>77</v>
      </c>
      <c r="I22" s="39" t="s">
        <v>117</v>
      </c>
      <c r="J22" s="39" t="s">
        <v>96</v>
      </c>
      <c r="K22" s="39" t="s">
        <v>136</v>
      </c>
      <c r="L22" s="39" t="s">
        <v>177</v>
      </c>
      <c r="M22" s="43">
        <v>41097</v>
      </c>
      <c r="N22" s="43">
        <v>43132</v>
      </c>
      <c r="O22" s="44">
        <v>41676</v>
      </c>
      <c r="P22" s="39">
        <v>2014</v>
      </c>
      <c r="Q22" s="44"/>
      <c r="R22" s="39"/>
      <c r="S22" s="39" t="s">
        <v>201</v>
      </c>
      <c r="T22" s="39" t="s">
        <v>204</v>
      </c>
      <c r="U22" s="43">
        <v>45473</v>
      </c>
      <c r="V22" s="37">
        <f t="shared" si="1"/>
        <v>10.4</v>
      </c>
      <c r="W22" s="37">
        <v>21.2</v>
      </c>
      <c r="X22" s="39" t="s">
        <v>203</v>
      </c>
    </row>
    <row r="23" spans="1:24" s="42" customFormat="1" ht="12.75" x14ac:dyDescent="0.25">
      <c r="A23" s="39"/>
      <c r="B23" s="39">
        <v>21</v>
      </c>
      <c r="C23" s="40" t="s">
        <v>41</v>
      </c>
      <c r="D23" s="39" t="s">
        <v>72</v>
      </c>
      <c r="E23" s="41">
        <v>26721</v>
      </c>
      <c r="F23" s="39" t="s">
        <v>234</v>
      </c>
      <c r="G23" s="39" t="s">
        <v>74</v>
      </c>
      <c r="H23" s="39" t="s">
        <v>77</v>
      </c>
      <c r="I23" s="39" t="s">
        <v>117</v>
      </c>
      <c r="J23" s="39" t="s">
        <v>97</v>
      </c>
      <c r="K23" s="39" t="s">
        <v>137</v>
      </c>
      <c r="L23" s="39" t="s">
        <v>178</v>
      </c>
      <c r="M23" s="43">
        <v>41843</v>
      </c>
      <c r="N23" s="39"/>
      <c r="O23" s="44">
        <v>42408</v>
      </c>
      <c r="P23" s="39">
        <v>2016</v>
      </c>
      <c r="Q23" s="44"/>
      <c r="R23" s="39"/>
      <c r="S23" s="39" t="s">
        <v>201</v>
      </c>
      <c r="T23" s="39" t="s">
        <v>203</v>
      </c>
      <c r="U23" s="43">
        <v>45473</v>
      </c>
      <c r="V23" s="37">
        <f t="shared" si="1"/>
        <v>8.3944444444444439</v>
      </c>
      <c r="W23" s="37">
        <v>23.45</v>
      </c>
      <c r="X23" s="39" t="s">
        <v>203</v>
      </c>
    </row>
    <row r="24" spans="1:24" s="42" customFormat="1" ht="12.75" x14ac:dyDescent="0.25">
      <c r="A24" s="39"/>
      <c r="B24" s="39">
        <v>22</v>
      </c>
      <c r="C24" s="40" t="s">
        <v>42</v>
      </c>
      <c r="D24" s="39" t="s">
        <v>72</v>
      </c>
      <c r="E24" s="41">
        <v>27629</v>
      </c>
      <c r="F24" s="39" t="s">
        <v>247</v>
      </c>
      <c r="G24" s="39" t="s">
        <v>76</v>
      </c>
      <c r="H24" s="39" t="s">
        <v>77</v>
      </c>
      <c r="I24" s="39" t="s">
        <v>117</v>
      </c>
      <c r="J24" s="39" t="s">
        <v>96</v>
      </c>
      <c r="K24" s="39" t="s">
        <v>138</v>
      </c>
      <c r="L24" s="39" t="s">
        <v>177</v>
      </c>
      <c r="M24" s="43">
        <v>40733</v>
      </c>
      <c r="N24" s="39"/>
      <c r="O24" s="44">
        <v>42522</v>
      </c>
      <c r="P24" s="39">
        <v>2016</v>
      </c>
      <c r="Q24" s="43"/>
      <c r="R24" s="39"/>
      <c r="S24" s="39" t="s">
        <v>201</v>
      </c>
      <c r="T24" s="39" t="s">
        <v>203</v>
      </c>
      <c r="U24" s="43">
        <v>45473</v>
      </c>
      <c r="V24" s="37">
        <f t="shared" si="1"/>
        <v>8.0805555555555557</v>
      </c>
      <c r="W24" s="37">
        <v>21.616666666666699</v>
      </c>
      <c r="X24" s="39" t="s">
        <v>203</v>
      </c>
    </row>
    <row r="25" spans="1:24" s="42" customFormat="1" ht="12.75" x14ac:dyDescent="0.25">
      <c r="A25" s="39"/>
      <c r="B25" s="39">
        <v>23</v>
      </c>
      <c r="C25" s="40" t="s">
        <v>48</v>
      </c>
      <c r="D25" s="39" t="s">
        <v>72</v>
      </c>
      <c r="E25" s="41">
        <v>29953</v>
      </c>
      <c r="F25" s="39" t="s">
        <v>217</v>
      </c>
      <c r="G25" s="39" t="s">
        <v>74</v>
      </c>
      <c r="H25" s="39" t="s">
        <v>78</v>
      </c>
      <c r="I25" s="39" t="s">
        <v>120</v>
      </c>
      <c r="J25" s="39" t="s">
        <v>102</v>
      </c>
      <c r="K25" s="39" t="s">
        <v>126</v>
      </c>
      <c r="L25" s="39" t="s">
        <v>183</v>
      </c>
      <c r="M25" s="43">
        <v>42464</v>
      </c>
      <c r="N25" s="39"/>
      <c r="O25" s="44">
        <v>43901</v>
      </c>
      <c r="P25" s="39">
        <v>2020</v>
      </c>
      <c r="Q25" s="44"/>
      <c r="R25" s="39"/>
      <c r="S25" s="39" t="s">
        <v>201</v>
      </c>
      <c r="T25" s="39" t="s">
        <v>203</v>
      </c>
      <c r="U25" s="43">
        <v>45473</v>
      </c>
      <c r="V25" s="37">
        <f t="shared" si="1"/>
        <v>4.302777777777778</v>
      </c>
      <c r="W25" s="37">
        <v>17.899999999999999</v>
      </c>
      <c r="X25" s="39" t="s">
        <v>203</v>
      </c>
    </row>
    <row r="26" spans="1:24" s="42" customFormat="1" ht="12.75" x14ac:dyDescent="0.25">
      <c r="A26" s="39"/>
      <c r="B26" s="39">
        <v>24</v>
      </c>
      <c r="C26" s="40" t="s">
        <v>276</v>
      </c>
      <c r="D26" s="39" t="s">
        <v>72</v>
      </c>
      <c r="E26" s="41">
        <v>28321</v>
      </c>
      <c r="F26" s="39" t="s">
        <v>288</v>
      </c>
      <c r="G26" s="39" t="s">
        <v>76</v>
      </c>
      <c r="H26" s="39" t="s">
        <v>77</v>
      </c>
      <c r="I26" s="39" t="s">
        <v>120</v>
      </c>
      <c r="J26" s="39" t="s">
        <v>282</v>
      </c>
      <c r="K26" s="39" t="s">
        <v>292</v>
      </c>
      <c r="L26" s="39" t="s">
        <v>297</v>
      </c>
      <c r="M26" s="43">
        <v>39873</v>
      </c>
      <c r="N26" s="39"/>
      <c r="O26" s="44">
        <v>44489</v>
      </c>
      <c r="P26" s="39">
        <v>2021</v>
      </c>
      <c r="Q26" s="44"/>
      <c r="R26" s="39"/>
      <c r="S26" s="39" t="s">
        <v>201</v>
      </c>
      <c r="T26" s="39" t="s">
        <v>203</v>
      </c>
      <c r="U26" s="43">
        <v>45473</v>
      </c>
      <c r="V26" s="37">
        <f t="shared" si="1"/>
        <v>2.6944444444444446</v>
      </c>
      <c r="W26" s="37">
        <v>21.7</v>
      </c>
      <c r="X26" s="39" t="s">
        <v>203</v>
      </c>
    </row>
    <row r="27" spans="1:24" s="42" customFormat="1" ht="12.75" x14ac:dyDescent="0.25">
      <c r="A27" s="39"/>
      <c r="B27" s="39">
        <v>25</v>
      </c>
      <c r="C27" s="40" t="s">
        <v>273</v>
      </c>
      <c r="D27" s="39" t="s">
        <v>72</v>
      </c>
      <c r="E27" s="41">
        <v>27714</v>
      </c>
      <c r="F27" s="39" t="s">
        <v>285</v>
      </c>
      <c r="G27" s="39" t="s">
        <v>74</v>
      </c>
      <c r="H27" s="39" t="s">
        <v>78</v>
      </c>
      <c r="I27" s="39" t="s">
        <v>120</v>
      </c>
      <c r="J27" s="39" t="s">
        <v>291</v>
      </c>
      <c r="K27" s="39" t="s">
        <v>292</v>
      </c>
      <c r="L27" s="39" t="s">
        <v>295</v>
      </c>
      <c r="M27" s="43">
        <v>42060</v>
      </c>
      <c r="N27" s="39"/>
      <c r="O27" s="44">
        <v>44662</v>
      </c>
      <c r="P27" s="39">
        <v>2022</v>
      </c>
      <c r="Q27" s="44"/>
      <c r="R27" s="39"/>
      <c r="S27" s="39" t="s">
        <v>201</v>
      </c>
      <c r="T27" s="39" t="s">
        <v>203</v>
      </c>
      <c r="U27" s="43">
        <v>45473</v>
      </c>
      <c r="V27" s="37">
        <f t="shared" si="1"/>
        <v>2.2194444444444446</v>
      </c>
      <c r="W27" s="37">
        <v>19.899999999999999</v>
      </c>
      <c r="X27" s="39" t="s">
        <v>203</v>
      </c>
    </row>
    <row r="28" spans="1:24" s="42" customFormat="1" ht="12.75" x14ac:dyDescent="0.25">
      <c r="A28" s="39"/>
      <c r="B28" s="39">
        <v>26</v>
      </c>
      <c r="C28" s="40" t="s">
        <v>59</v>
      </c>
      <c r="D28" s="39" t="s">
        <v>72</v>
      </c>
      <c r="E28" s="41">
        <v>29469</v>
      </c>
      <c r="F28" s="39" t="s">
        <v>226</v>
      </c>
      <c r="G28" s="39" t="s">
        <v>255</v>
      </c>
      <c r="H28" s="39" t="s">
        <v>78</v>
      </c>
      <c r="I28" s="39" t="s">
        <v>120</v>
      </c>
      <c r="J28" s="39" t="s">
        <v>105</v>
      </c>
      <c r="K28" s="39" t="s">
        <v>151</v>
      </c>
      <c r="L28" s="39" t="s">
        <v>186</v>
      </c>
      <c r="M28" s="43">
        <v>39479</v>
      </c>
      <c r="N28" s="44">
        <v>45108</v>
      </c>
      <c r="O28" s="44" t="s">
        <v>199</v>
      </c>
      <c r="P28" s="39">
        <v>2017</v>
      </c>
      <c r="Q28" s="44"/>
      <c r="R28" s="39"/>
      <c r="S28" s="39" t="s">
        <v>201</v>
      </c>
      <c r="T28" s="39" t="s">
        <v>203</v>
      </c>
      <c r="U28" s="43">
        <v>45473</v>
      </c>
      <c r="V28" s="37">
        <f>YEARFRAC(O28,U28)</f>
        <v>6.916666666666667</v>
      </c>
      <c r="W28" s="37">
        <v>20</v>
      </c>
      <c r="X28" s="39" t="s">
        <v>203</v>
      </c>
    </row>
    <row r="29" spans="1:24" s="42" customFormat="1" ht="12.75" x14ac:dyDescent="0.25">
      <c r="A29" s="39"/>
      <c r="B29" s="39">
        <v>27</v>
      </c>
      <c r="C29" s="40" t="s">
        <v>324</v>
      </c>
      <c r="D29" s="39" t="s">
        <v>72</v>
      </c>
      <c r="E29" s="41">
        <v>27294</v>
      </c>
      <c r="F29" s="39" t="s">
        <v>325</v>
      </c>
      <c r="G29" s="39" t="s">
        <v>74</v>
      </c>
      <c r="H29" s="39" t="s">
        <v>78</v>
      </c>
      <c r="I29" s="39" t="s">
        <v>329</v>
      </c>
      <c r="J29" s="39" t="s">
        <v>330</v>
      </c>
      <c r="K29" s="39" t="s">
        <v>126</v>
      </c>
      <c r="L29" s="39" t="s">
        <v>331</v>
      </c>
      <c r="M29" s="43">
        <v>42532</v>
      </c>
      <c r="N29" s="44"/>
      <c r="O29" s="44">
        <v>43911</v>
      </c>
      <c r="P29" s="39">
        <v>2020</v>
      </c>
      <c r="Q29" s="44"/>
      <c r="R29" s="39"/>
      <c r="S29" s="39" t="s">
        <v>201</v>
      </c>
      <c r="T29" s="39" t="s">
        <v>203</v>
      </c>
      <c r="U29" s="43">
        <v>45473</v>
      </c>
      <c r="V29" s="37">
        <f>YEARFRAC(O29,U29)</f>
        <v>4.2750000000000004</v>
      </c>
      <c r="W29" s="37">
        <v>23.9</v>
      </c>
      <c r="X29" s="39" t="s">
        <v>203</v>
      </c>
    </row>
    <row r="30" spans="1:24" s="42" customFormat="1" ht="12.75" x14ac:dyDescent="0.25">
      <c r="A30" s="39"/>
      <c r="B30" s="39">
        <v>28</v>
      </c>
      <c r="C30" s="40" t="s">
        <v>336</v>
      </c>
      <c r="D30" s="39" t="s">
        <v>72</v>
      </c>
      <c r="E30" s="41">
        <v>22867</v>
      </c>
      <c r="F30" s="39" t="s">
        <v>326</v>
      </c>
      <c r="G30" s="39" t="s">
        <v>74</v>
      </c>
      <c r="H30" s="39" t="s">
        <v>77</v>
      </c>
      <c r="I30" s="39" t="s">
        <v>119</v>
      </c>
      <c r="J30" s="39" t="s">
        <v>333</v>
      </c>
      <c r="K30" s="39" t="s">
        <v>126</v>
      </c>
      <c r="L30" s="39" t="s">
        <v>190</v>
      </c>
      <c r="M30" s="43">
        <v>31516</v>
      </c>
      <c r="N30" s="44"/>
      <c r="O30" s="44">
        <v>44358</v>
      </c>
      <c r="P30" s="39">
        <v>2021</v>
      </c>
      <c r="Q30" s="44"/>
      <c r="R30" s="39"/>
      <c r="S30" s="39" t="s">
        <v>200</v>
      </c>
      <c r="T30" s="39" t="s">
        <v>203</v>
      </c>
      <c r="U30" s="43">
        <v>45473</v>
      </c>
      <c r="V30" s="37">
        <f>YEARFRAC(O30,U30)</f>
        <v>3.0527777777777776</v>
      </c>
      <c r="W30" s="45">
        <v>29.900000000000002</v>
      </c>
      <c r="X30" s="39" t="s">
        <v>203</v>
      </c>
    </row>
    <row r="31" spans="1:24" s="42" customFormat="1" x14ac:dyDescent="0.25">
      <c r="A31" s="39"/>
      <c r="B31" s="39">
        <v>29</v>
      </c>
      <c r="C31" s="40" t="s">
        <v>337</v>
      </c>
      <c r="D31" s="39" t="s">
        <v>72</v>
      </c>
      <c r="E31" s="41">
        <v>31626</v>
      </c>
      <c r="F31" s="39" t="s">
        <v>343</v>
      </c>
      <c r="G31" s="39" t="s">
        <v>74</v>
      </c>
      <c r="H31" s="39" t="s">
        <v>77</v>
      </c>
      <c r="I31" s="39" t="s">
        <v>120</v>
      </c>
      <c r="J31" s="39" t="s">
        <v>95</v>
      </c>
      <c r="K31" s="39" t="s">
        <v>352</v>
      </c>
      <c r="L31" s="39" t="s">
        <v>172</v>
      </c>
      <c r="M31" s="43">
        <v>45193</v>
      </c>
      <c r="N31" s="46"/>
      <c r="O31" s="44">
        <v>45331</v>
      </c>
      <c r="P31" s="39">
        <v>2024</v>
      </c>
      <c r="Q31" s="46"/>
      <c r="R31" s="46"/>
      <c r="S31" s="39" t="s">
        <v>201</v>
      </c>
      <c r="T31" s="46" t="s">
        <v>204</v>
      </c>
      <c r="U31" s="43">
        <v>45473</v>
      </c>
      <c r="V31" s="37">
        <f>YEARFRAC(O31,U31)</f>
        <v>0.39166666666666666</v>
      </c>
      <c r="W31" s="46">
        <v>14</v>
      </c>
      <c r="X31" s="39" t="s">
        <v>203</v>
      </c>
    </row>
    <row r="32" spans="1:24" s="42" customFormat="1" ht="12.75" x14ac:dyDescent="0.25">
      <c r="A32" s="39"/>
      <c r="B32" s="39">
        <v>30</v>
      </c>
      <c r="C32" s="40" t="s">
        <v>57</v>
      </c>
      <c r="D32" s="39" t="s">
        <v>72</v>
      </c>
      <c r="E32" s="41">
        <v>29738</v>
      </c>
      <c r="F32" s="39" t="s">
        <v>228</v>
      </c>
      <c r="G32" s="39" t="s">
        <v>75</v>
      </c>
      <c r="H32" s="39" t="s">
        <v>78</v>
      </c>
      <c r="I32" s="39" t="s">
        <v>120</v>
      </c>
      <c r="J32" s="39" t="s">
        <v>110</v>
      </c>
      <c r="K32" s="39" t="s">
        <v>149</v>
      </c>
      <c r="L32" s="39" t="s">
        <v>190</v>
      </c>
      <c r="M32" s="43">
        <v>43734</v>
      </c>
      <c r="N32" s="47">
        <v>45383</v>
      </c>
      <c r="O32" s="44" t="s">
        <v>198</v>
      </c>
      <c r="P32" s="39">
        <v>2016</v>
      </c>
      <c r="Q32" s="44"/>
      <c r="R32" s="39"/>
      <c r="S32" s="39" t="s">
        <v>201</v>
      </c>
      <c r="T32" s="39" t="s">
        <v>203</v>
      </c>
      <c r="U32" s="43">
        <v>45473</v>
      </c>
      <c r="V32" s="37">
        <f>YEARFRAC(O32,U32)</f>
        <v>8.4305555555555554</v>
      </c>
      <c r="W32" s="37">
        <v>20.100000000000001</v>
      </c>
      <c r="X32" s="39" t="s">
        <v>203</v>
      </c>
    </row>
    <row r="33" spans="1:24" s="42" customFormat="1" ht="12.75" x14ac:dyDescent="0.25">
      <c r="A33" s="39"/>
      <c r="B33" s="39">
        <v>31</v>
      </c>
      <c r="C33" s="40" t="s">
        <v>52</v>
      </c>
      <c r="D33" s="39" t="s">
        <v>73</v>
      </c>
      <c r="E33" s="41">
        <v>26820</v>
      </c>
      <c r="F33" s="39" t="s">
        <v>245</v>
      </c>
      <c r="G33" s="39" t="s">
        <v>75</v>
      </c>
      <c r="H33" s="39" t="s">
        <v>77</v>
      </c>
      <c r="I33" s="39" t="s">
        <v>117</v>
      </c>
      <c r="J33" s="39" t="s">
        <v>105</v>
      </c>
      <c r="K33" s="39" t="s">
        <v>145</v>
      </c>
      <c r="L33" s="39" t="s">
        <v>186</v>
      </c>
      <c r="M33" s="43">
        <v>44410</v>
      </c>
      <c r="N33" s="43">
        <v>43076</v>
      </c>
      <c r="O33" s="44">
        <v>38957</v>
      </c>
      <c r="P33" s="39">
        <v>2006</v>
      </c>
      <c r="Q33" s="43"/>
      <c r="R33" s="39"/>
      <c r="S33" s="39" t="s">
        <v>201</v>
      </c>
      <c r="T33" s="39" t="s">
        <v>203</v>
      </c>
      <c r="U33" s="43">
        <v>45473</v>
      </c>
      <c r="V33" s="37">
        <f t="shared" si="1"/>
        <v>17.838888888888889</v>
      </c>
      <c r="W33" s="37">
        <v>23.366666666666699</v>
      </c>
      <c r="X33" s="39" t="s">
        <v>203</v>
      </c>
    </row>
    <row r="34" spans="1:24" s="42" customFormat="1" ht="12.75" x14ac:dyDescent="0.25">
      <c r="A34" s="39"/>
      <c r="B34" s="39">
        <v>32</v>
      </c>
      <c r="C34" s="40" t="s">
        <v>54</v>
      </c>
      <c r="D34" s="39" t="s">
        <v>73</v>
      </c>
      <c r="E34" s="41">
        <v>28772</v>
      </c>
      <c r="F34" s="39" t="s">
        <v>249</v>
      </c>
      <c r="G34" s="39" t="s">
        <v>76</v>
      </c>
      <c r="H34" s="39" t="s">
        <v>77</v>
      </c>
      <c r="I34" s="39" t="s">
        <v>119</v>
      </c>
      <c r="J34" s="39" t="s">
        <v>107</v>
      </c>
      <c r="K34" s="39" t="s">
        <v>146</v>
      </c>
      <c r="L34" s="39" t="s">
        <v>187</v>
      </c>
      <c r="M34" s="43">
        <v>39255</v>
      </c>
      <c r="N34" s="39"/>
      <c r="O34" s="44" t="s">
        <v>197</v>
      </c>
      <c r="P34" s="39">
        <v>2012</v>
      </c>
      <c r="Q34" s="44"/>
      <c r="R34" s="39"/>
      <c r="S34" s="39" t="s">
        <v>201</v>
      </c>
      <c r="T34" s="39" t="s">
        <v>203</v>
      </c>
      <c r="U34" s="43">
        <v>45473</v>
      </c>
      <c r="V34" s="37">
        <f t="shared" si="1"/>
        <v>12.108333333333333</v>
      </c>
      <c r="W34" s="37">
        <v>20.5</v>
      </c>
      <c r="X34" s="39" t="s">
        <v>203</v>
      </c>
    </row>
    <row r="35" spans="1:24" s="42" customFormat="1" ht="12.75" x14ac:dyDescent="0.25">
      <c r="A35" s="39"/>
      <c r="B35" s="39">
        <v>33</v>
      </c>
      <c r="C35" s="40" t="s">
        <v>55</v>
      </c>
      <c r="D35" s="39" t="s">
        <v>73</v>
      </c>
      <c r="E35" s="41">
        <v>23771</v>
      </c>
      <c r="F35" s="39" t="s">
        <v>230</v>
      </c>
      <c r="G35" s="39" t="s">
        <v>74</v>
      </c>
      <c r="H35" s="39" t="s">
        <v>77</v>
      </c>
      <c r="I35" s="39" t="s">
        <v>119</v>
      </c>
      <c r="J35" s="39" t="s">
        <v>108</v>
      </c>
      <c r="K35" s="39" t="s">
        <v>147</v>
      </c>
      <c r="L35" s="39" t="s">
        <v>188</v>
      </c>
      <c r="M35" s="43">
        <v>1993</v>
      </c>
      <c r="N35" s="39"/>
      <c r="O35" s="44">
        <v>38222</v>
      </c>
      <c r="P35" s="39">
        <v>2004</v>
      </c>
      <c r="Q35" s="44"/>
      <c r="R35" s="39"/>
      <c r="S35" s="39" t="s">
        <v>201</v>
      </c>
      <c r="T35" s="39" t="s">
        <v>203</v>
      </c>
      <c r="U35" s="43">
        <v>45473</v>
      </c>
      <c r="V35" s="37">
        <f t="shared" si="1"/>
        <v>19.852777777777778</v>
      </c>
      <c r="W35" s="37">
        <v>29</v>
      </c>
      <c r="X35" s="39" t="s">
        <v>203</v>
      </c>
    </row>
    <row r="36" spans="1:24" s="42" customFormat="1" ht="12.75" x14ac:dyDescent="0.25">
      <c r="A36" s="39"/>
      <c r="B36" s="39">
        <v>34</v>
      </c>
      <c r="C36" s="40" t="s">
        <v>263</v>
      </c>
      <c r="D36" s="39" t="s">
        <v>73</v>
      </c>
      <c r="E36" s="41">
        <v>29967</v>
      </c>
      <c r="F36" s="39" t="s">
        <v>264</v>
      </c>
      <c r="G36" s="39" t="s">
        <v>74</v>
      </c>
      <c r="H36" s="39" t="s">
        <v>77</v>
      </c>
      <c r="I36" s="39" t="s">
        <v>119</v>
      </c>
      <c r="J36" s="39" t="s">
        <v>265</v>
      </c>
      <c r="K36" s="39" t="s">
        <v>266</v>
      </c>
      <c r="L36" s="39" t="s">
        <v>173</v>
      </c>
      <c r="M36" s="43">
        <v>41543</v>
      </c>
      <c r="N36" s="39"/>
      <c r="O36" s="44" t="s">
        <v>267</v>
      </c>
      <c r="P36" s="39">
        <v>2020</v>
      </c>
      <c r="Q36" s="44"/>
      <c r="R36" s="39"/>
      <c r="S36" s="39" t="s">
        <v>201</v>
      </c>
      <c r="T36" s="39" t="s">
        <v>203</v>
      </c>
      <c r="U36" s="43">
        <v>45473</v>
      </c>
      <c r="V36" s="37">
        <f t="shared" si="1"/>
        <v>3.5638888888888891</v>
      </c>
      <c r="W36" s="37">
        <v>9.5</v>
      </c>
      <c r="X36" s="39" t="s">
        <v>203</v>
      </c>
    </row>
    <row r="37" spans="1:24" s="42" customFormat="1" ht="12.75" x14ac:dyDescent="0.25">
      <c r="A37" s="39"/>
      <c r="B37" s="39">
        <v>35</v>
      </c>
      <c r="C37" s="40" t="s">
        <v>269</v>
      </c>
      <c r="D37" s="39" t="s">
        <v>73</v>
      </c>
      <c r="E37" s="41">
        <v>31888</v>
      </c>
      <c r="F37" s="39" t="s">
        <v>270</v>
      </c>
      <c r="G37" s="39" t="s">
        <v>74</v>
      </c>
      <c r="H37" s="39" t="s">
        <v>77</v>
      </c>
      <c r="I37" s="39" t="s">
        <v>119</v>
      </c>
      <c r="J37" s="39" t="s">
        <v>271</v>
      </c>
      <c r="K37" s="39" t="s">
        <v>272</v>
      </c>
      <c r="L37" s="39" t="s">
        <v>193</v>
      </c>
      <c r="M37" s="43">
        <v>40854</v>
      </c>
      <c r="N37" s="43"/>
      <c r="O37" s="44">
        <v>44639</v>
      </c>
      <c r="P37" s="39">
        <v>2022</v>
      </c>
      <c r="Q37" s="43"/>
      <c r="R37" s="43"/>
      <c r="S37" s="39" t="s">
        <v>201</v>
      </c>
      <c r="T37" s="39" t="s">
        <v>203</v>
      </c>
      <c r="U37" s="43">
        <v>45473</v>
      </c>
      <c r="V37" s="37">
        <f t="shared" si="1"/>
        <v>2.2805555555555554</v>
      </c>
      <c r="W37" s="37">
        <v>9.1999999999999993</v>
      </c>
      <c r="X37" s="39" t="s">
        <v>203</v>
      </c>
    </row>
    <row r="38" spans="1:24" s="42" customFormat="1" ht="12.75" x14ac:dyDescent="0.25">
      <c r="A38" s="39"/>
      <c r="B38" s="39">
        <v>36</v>
      </c>
      <c r="C38" s="40" t="s">
        <v>274</v>
      </c>
      <c r="D38" s="39" t="s">
        <v>73</v>
      </c>
      <c r="E38" s="41">
        <v>29169</v>
      </c>
      <c r="F38" s="39" t="s">
        <v>280</v>
      </c>
      <c r="G38" s="39" t="s">
        <v>75</v>
      </c>
      <c r="H38" s="39" t="s">
        <v>78</v>
      </c>
      <c r="I38" s="39" t="s">
        <v>120</v>
      </c>
      <c r="J38" s="39" t="s">
        <v>282</v>
      </c>
      <c r="K38" s="39" t="s">
        <v>284</v>
      </c>
      <c r="L38" s="39" t="s">
        <v>172</v>
      </c>
      <c r="M38" s="43">
        <v>41712</v>
      </c>
      <c r="N38" s="43"/>
      <c r="O38" s="44">
        <v>44494</v>
      </c>
      <c r="P38" s="39">
        <v>2021</v>
      </c>
      <c r="Q38" s="43"/>
      <c r="R38" s="43"/>
      <c r="S38" s="39" t="s">
        <v>201</v>
      </c>
      <c r="T38" s="39" t="s">
        <v>203</v>
      </c>
      <c r="U38" s="43">
        <v>45473</v>
      </c>
      <c r="V38" s="37">
        <f t="shared" si="1"/>
        <v>2.6805555555555554</v>
      </c>
      <c r="W38" s="37">
        <v>20.8</v>
      </c>
      <c r="X38" s="39" t="s">
        <v>203</v>
      </c>
    </row>
    <row r="39" spans="1:24" s="48" customFormat="1" x14ac:dyDescent="0.25">
      <c r="B39" s="39">
        <v>37</v>
      </c>
      <c r="C39" s="40" t="s">
        <v>319</v>
      </c>
      <c r="D39" s="39" t="s">
        <v>73</v>
      </c>
      <c r="E39" s="41">
        <v>31279</v>
      </c>
      <c r="F39" s="39" t="s">
        <v>344</v>
      </c>
      <c r="G39" s="39" t="s">
        <v>320</v>
      </c>
      <c r="H39" s="39" t="s">
        <v>77</v>
      </c>
      <c r="I39" s="39" t="s">
        <v>120</v>
      </c>
      <c r="J39" s="39" t="s">
        <v>321</v>
      </c>
      <c r="K39" s="39" t="s">
        <v>322</v>
      </c>
      <c r="L39" s="39" t="s">
        <v>323</v>
      </c>
      <c r="M39" s="43">
        <v>43297</v>
      </c>
      <c r="N39" s="43"/>
      <c r="O39" s="44">
        <v>45208</v>
      </c>
      <c r="P39" s="39">
        <v>2023</v>
      </c>
      <c r="Q39" s="43"/>
      <c r="R39" s="43"/>
      <c r="S39" s="39" t="s">
        <v>201</v>
      </c>
      <c r="T39" s="39" t="s">
        <v>203</v>
      </c>
      <c r="U39" s="43">
        <v>45473</v>
      </c>
      <c r="V39" s="37">
        <f t="shared" si="1"/>
        <v>0.72499999999999998</v>
      </c>
      <c r="W39" s="37">
        <v>12.6</v>
      </c>
      <c r="X39" s="39" t="s">
        <v>203</v>
      </c>
    </row>
    <row r="40" spans="1:24" s="48" customFormat="1" x14ac:dyDescent="0.25">
      <c r="B40" s="39">
        <v>38</v>
      </c>
      <c r="C40" s="40" t="s">
        <v>310</v>
      </c>
      <c r="D40" s="39" t="s">
        <v>311</v>
      </c>
      <c r="E40" s="41">
        <v>30037</v>
      </c>
      <c r="F40" s="39" t="s">
        <v>312</v>
      </c>
      <c r="G40" s="39" t="s">
        <v>74</v>
      </c>
      <c r="H40" s="39" t="s">
        <v>78</v>
      </c>
      <c r="I40" s="39" t="s">
        <v>120</v>
      </c>
      <c r="J40" s="39" t="s">
        <v>282</v>
      </c>
      <c r="K40" s="39" t="s">
        <v>313</v>
      </c>
      <c r="L40" s="39" t="s">
        <v>172</v>
      </c>
      <c r="M40" s="43">
        <v>43549</v>
      </c>
      <c r="N40" s="43"/>
      <c r="O40" s="44">
        <v>45166</v>
      </c>
      <c r="P40" s="39">
        <v>2023</v>
      </c>
      <c r="Q40" s="43"/>
      <c r="R40" s="43"/>
      <c r="S40" s="39" t="s">
        <v>200</v>
      </c>
      <c r="T40" s="39" t="s">
        <v>203</v>
      </c>
      <c r="U40" s="43">
        <v>45473</v>
      </c>
      <c r="V40" s="37">
        <f t="shared" si="1"/>
        <v>0.83888888888888891</v>
      </c>
      <c r="W40" s="37">
        <v>14.2</v>
      </c>
      <c r="X40" s="39" t="s">
        <v>203</v>
      </c>
    </row>
    <row r="41" spans="1:24" s="48" customFormat="1" x14ac:dyDescent="0.25">
      <c r="B41" s="39">
        <v>39</v>
      </c>
      <c r="C41" s="40" t="s">
        <v>338</v>
      </c>
      <c r="D41" s="39" t="s">
        <v>73</v>
      </c>
      <c r="E41" s="41">
        <v>34841</v>
      </c>
      <c r="F41" s="39" t="s">
        <v>345</v>
      </c>
      <c r="G41" s="39" t="s">
        <v>320</v>
      </c>
      <c r="H41" s="39" t="s">
        <v>77</v>
      </c>
      <c r="I41" s="39" t="s">
        <v>120</v>
      </c>
      <c r="J41" s="39" t="s">
        <v>346</v>
      </c>
      <c r="K41" s="39" t="s">
        <v>353</v>
      </c>
      <c r="L41" s="39" t="s">
        <v>354</v>
      </c>
      <c r="M41" s="43">
        <v>45262</v>
      </c>
      <c r="N41" s="43"/>
      <c r="O41" s="44">
        <v>45289</v>
      </c>
      <c r="P41" s="39">
        <v>2023</v>
      </c>
      <c r="Q41" s="43">
        <v>45365</v>
      </c>
      <c r="R41" s="39">
        <v>2024</v>
      </c>
      <c r="S41" s="39" t="s">
        <v>201</v>
      </c>
      <c r="T41" s="39" t="s">
        <v>203</v>
      </c>
      <c r="U41" s="43">
        <v>45365</v>
      </c>
      <c r="V41" s="37">
        <f t="shared" si="1"/>
        <v>0.20833333333333334</v>
      </c>
      <c r="W41" s="37">
        <v>4.5999999999999996</v>
      </c>
      <c r="X41" s="39" t="s">
        <v>203</v>
      </c>
    </row>
    <row r="42" spans="1:24" s="48" customFormat="1" x14ac:dyDescent="0.25">
      <c r="B42" s="39">
        <v>40</v>
      </c>
      <c r="C42" s="40" t="s">
        <v>339</v>
      </c>
      <c r="D42" s="39" t="s">
        <v>73</v>
      </c>
      <c r="E42" s="41">
        <v>30416</v>
      </c>
      <c r="F42" s="39" t="s">
        <v>347</v>
      </c>
      <c r="G42" s="39" t="s">
        <v>320</v>
      </c>
      <c r="H42" s="39" t="s">
        <v>78</v>
      </c>
      <c r="I42" s="39" t="s">
        <v>120</v>
      </c>
      <c r="J42" s="39" t="s">
        <v>348</v>
      </c>
      <c r="K42" s="39" t="s">
        <v>355</v>
      </c>
      <c r="L42" s="46" t="s">
        <v>172</v>
      </c>
      <c r="M42" s="43">
        <v>43855</v>
      </c>
      <c r="N42" s="46"/>
      <c r="O42" s="44">
        <v>45302</v>
      </c>
      <c r="P42" s="39">
        <v>2024</v>
      </c>
      <c r="Q42" s="46"/>
      <c r="R42" s="46"/>
      <c r="S42" s="39" t="s">
        <v>201</v>
      </c>
      <c r="T42" s="46" t="s">
        <v>204</v>
      </c>
      <c r="U42" s="43">
        <v>45473</v>
      </c>
      <c r="V42" s="37">
        <f t="shared" si="1"/>
        <v>0.46944444444444444</v>
      </c>
      <c r="W42" s="46">
        <v>21</v>
      </c>
      <c r="X42" s="39" t="s">
        <v>203</v>
      </c>
    </row>
    <row r="43" spans="1:24" s="48" customFormat="1" x14ac:dyDescent="0.25">
      <c r="B43" s="39">
        <v>41</v>
      </c>
      <c r="C43" s="40" t="s">
        <v>340</v>
      </c>
      <c r="D43" s="39" t="s">
        <v>73</v>
      </c>
      <c r="E43" s="41">
        <v>33584</v>
      </c>
      <c r="F43" s="39" t="s">
        <v>349</v>
      </c>
      <c r="G43" s="39" t="s">
        <v>320</v>
      </c>
      <c r="H43" s="39" t="s">
        <v>77</v>
      </c>
      <c r="I43" s="39" t="s">
        <v>120</v>
      </c>
      <c r="J43" s="39" t="s">
        <v>95</v>
      </c>
      <c r="K43" s="39" t="s">
        <v>356</v>
      </c>
      <c r="L43" s="46" t="s">
        <v>172</v>
      </c>
      <c r="M43" s="43">
        <v>45414</v>
      </c>
      <c r="N43" s="46"/>
      <c r="O43" s="44">
        <v>45404</v>
      </c>
      <c r="P43" s="39">
        <v>2024</v>
      </c>
      <c r="Q43" s="46"/>
      <c r="R43" s="46"/>
      <c r="S43" s="39" t="s">
        <v>201</v>
      </c>
      <c r="T43" s="46" t="s">
        <v>203</v>
      </c>
      <c r="U43" s="43">
        <v>45473</v>
      </c>
      <c r="V43" s="37">
        <f t="shared" si="1"/>
        <v>0.18888888888888888</v>
      </c>
      <c r="W43" s="49">
        <v>6.6888888888888891</v>
      </c>
      <c r="X43" s="39" t="s">
        <v>203</v>
      </c>
    </row>
  </sheetData>
  <mergeCells count="1">
    <mergeCell ref="A1:X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B48D-F5CA-4A33-B8CE-4B5341B4A7CA}">
  <dimension ref="A1:W37"/>
  <sheetViews>
    <sheetView zoomScale="90" zoomScaleNormal="90" workbookViewId="0">
      <pane xSplit="2" ySplit="2" topLeftCell="C1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5" x14ac:dyDescent="0.25"/>
  <cols>
    <col min="1" max="1" width="4.85546875" style="12" bestFit="1" customWidth="1"/>
    <col min="2" max="2" width="35.42578125" style="18" bestFit="1" customWidth="1"/>
    <col min="3" max="3" width="16.42578125" style="18" bestFit="1" customWidth="1"/>
    <col min="4" max="4" width="13" style="26" bestFit="1" customWidth="1"/>
    <col min="5" max="5" width="12" style="12" bestFit="1" customWidth="1"/>
    <col min="6" max="6" width="13" style="12" bestFit="1" customWidth="1"/>
    <col min="7" max="7" width="7.7109375" style="12" bestFit="1" customWidth="1"/>
    <col min="8" max="8" width="34.28515625" style="12" bestFit="1" customWidth="1"/>
    <col min="9" max="9" width="36.140625" style="12" bestFit="1" customWidth="1"/>
    <col min="10" max="10" width="42.85546875" style="12" bestFit="1" customWidth="1"/>
    <col min="11" max="11" width="31.5703125" style="12" bestFit="1" customWidth="1"/>
    <col min="12" max="12" width="39.140625" style="12" bestFit="1" customWidth="1"/>
    <col min="13" max="13" width="57.7109375" style="12" bestFit="1" customWidth="1"/>
    <col min="14" max="14" width="27.5703125" style="12" bestFit="1" customWidth="1"/>
    <col min="15" max="15" width="15.7109375" style="12" bestFit="1" customWidth="1"/>
    <col min="16" max="16" width="17.140625" style="21" bestFit="1" customWidth="1"/>
    <col min="17" max="17" width="17.5703125" style="12" bestFit="1" customWidth="1"/>
    <col min="18" max="18" width="86.140625" style="12" bestFit="1" customWidth="1"/>
    <col min="19" max="19" width="32.7109375" style="12" bestFit="1" customWidth="1"/>
    <col min="20" max="20" width="9.5703125" style="12" bestFit="1" customWidth="1"/>
    <col min="21" max="21" width="28.42578125" style="12" bestFit="1" customWidth="1"/>
    <col min="22" max="22" width="45.5703125" style="12" bestFit="1" customWidth="1"/>
    <col min="23" max="23" width="113.85546875" style="12" bestFit="1" customWidth="1"/>
    <col min="24" max="24" width="27.5703125" style="12" customWidth="1"/>
    <col min="25" max="16384" width="9.140625" style="12"/>
  </cols>
  <sheetData>
    <row r="1" spans="1:23" s="1" customFormat="1" ht="12.75" x14ac:dyDescent="0.25">
      <c r="A1" s="71" t="s">
        <v>301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1"/>
      <c r="R1" s="71"/>
      <c r="S1" s="71"/>
      <c r="T1" s="71"/>
      <c r="U1" s="71"/>
      <c r="V1" s="71"/>
      <c r="W1" s="71"/>
    </row>
    <row r="2" spans="1:23" s="1" customFormat="1" ht="12.75" x14ac:dyDescent="0.25">
      <c r="A2" s="13" t="s">
        <v>357</v>
      </c>
      <c r="B2" s="17" t="s">
        <v>7</v>
      </c>
      <c r="C2" s="17" t="s">
        <v>0</v>
      </c>
      <c r="D2" s="13" t="s">
        <v>382</v>
      </c>
      <c r="E2" s="13" t="s">
        <v>1</v>
      </c>
      <c r="F2" s="13" t="s">
        <v>16</v>
      </c>
      <c r="G2" s="13" t="s">
        <v>2</v>
      </c>
      <c r="H2" s="13" t="s">
        <v>17</v>
      </c>
      <c r="I2" s="13" t="s">
        <v>12</v>
      </c>
      <c r="J2" s="13" t="s">
        <v>3</v>
      </c>
      <c r="K2" s="13" t="s">
        <v>14</v>
      </c>
      <c r="L2" s="13" t="s">
        <v>8</v>
      </c>
      <c r="M2" s="13" t="s">
        <v>15</v>
      </c>
      <c r="N2" s="14" t="s">
        <v>10</v>
      </c>
      <c r="O2" s="14" t="s">
        <v>9</v>
      </c>
      <c r="P2" s="14" t="s">
        <v>4</v>
      </c>
      <c r="Q2" s="14" t="s">
        <v>11</v>
      </c>
      <c r="R2" s="13" t="s">
        <v>18</v>
      </c>
      <c r="S2" s="13" t="s">
        <v>19</v>
      </c>
      <c r="T2" s="13" t="s">
        <v>205</v>
      </c>
      <c r="U2" s="13" t="s">
        <v>13</v>
      </c>
      <c r="V2" s="14" t="s">
        <v>20</v>
      </c>
      <c r="W2" s="15" t="s">
        <v>5</v>
      </c>
    </row>
    <row r="3" spans="1:23" s="42" customFormat="1" ht="12.75" x14ac:dyDescent="0.25">
      <c r="A3" s="39">
        <v>1</v>
      </c>
      <c r="B3" s="40" t="s">
        <v>23</v>
      </c>
      <c r="C3" s="40" t="s">
        <v>69</v>
      </c>
      <c r="D3" s="41">
        <v>24208</v>
      </c>
      <c r="E3" s="39" t="s">
        <v>209</v>
      </c>
      <c r="F3" s="39" t="s">
        <v>74</v>
      </c>
      <c r="G3" s="39" t="s">
        <v>77</v>
      </c>
      <c r="H3" s="39" t="s">
        <v>117</v>
      </c>
      <c r="I3" s="39" t="s">
        <v>81</v>
      </c>
      <c r="J3" s="39" t="s">
        <v>125</v>
      </c>
      <c r="K3" s="39" t="s">
        <v>160</v>
      </c>
      <c r="L3" s="43">
        <v>35763</v>
      </c>
      <c r="M3" s="43">
        <v>39965</v>
      </c>
      <c r="N3" s="44" t="s">
        <v>195</v>
      </c>
      <c r="O3" s="39">
        <v>1990</v>
      </c>
      <c r="P3" s="44"/>
      <c r="Q3" s="39"/>
      <c r="R3" s="39" t="s">
        <v>201</v>
      </c>
      <c r="S3" s="39" t="s">
        <v>203</v>
      </c>
      <c r="T3" s="43">
        <v>45107</v>
      </c>
      <c r="U3" s="37">
        <f>YEARFRAC(N3,T3)</f>
        <v>33.383333333333333</v>
      </c>
      <c r="V3" s="37">
        <f>U3+1</f>
        <v>34.383333333333333</v>
      </c>
      <c r="W3" s="39" t="s">
        <v>203</v>
      </c>
    </row>
    <row r="4" spans="1:23" s="42" customFormat="1" ht="12.75" x14ac:dyDescent="0.25">
      <c r="A4" s="39">
        <v>2</v>
      </c>
      <c r="B4" s="40" t="s">
        <v>24</v>
      </c>
      <c r="C4" s="40" t="s">
        <v>69</v>
      </c>
      <c r="D4" s="41">
        <v>23942</v>
      </c>
      <c r="E4" s="39" t="s">
        <v>210</v>
      </c>
      <c r="F4" s="39" t="s">
        <v>74</v>
      </c>
      <c r="G4" s="39" t="s">
        <v>77</v>
      </c>
      <c r="H4" s="39" t="s">
        <v>117</v>
      </c>
      <c r="I4" s="39" t="s">
        <v>82</v>
      </c>
      <c r="J4" s="39" t="s">
        <v>126</v>
      </c>
      <c r="K4" s="39" t="s">
        <v>161</v>
      </c>
      <c r="L4" s="43">
        <v>39046</v>
      </c>
      <c r="M4" s="43">
        <v>41821</v>
      </c>
      <c r="N4" s="44">
        <v>35101</v>
      </c>
      <c r="O4" s="39">
        <v>1996</v>
      </c>
      <c r="P4" s="44"/>
      <c r="Q4" s="39"/>
      <c r="R4" s="39" t="s">
        <v>201</v>
      </c>
      <c r="S4" s="39" t="s">
        <v>203</v>
      </c>
      <c r="T4" s="43">
        <v>45107</v>
      </c>
      <c r="U4" s="37">
        <f t="shared" ref="U4" si="0">YEARFRAC(N4,T4)</f>
        <v>27.4</v>
      </c>
      <c r="V4" s="37">
        <f>29.3333333333333+3</f>
        <v>32.3333333333333</v>
      </c>
      <c r="W4" s="39" t="s">
        <v>203</v>
      </c>
    </row>
    <row r="5" spans="1:23" s="42" customFormat="1" ht="12.75" x14ac:dyDescent="0.25">
      <c r="A5" s="39">
        <v>3</v>
      </c>
      <c r="B5" s="40" t="s">
        <v>25</v>
      </c>
      <c r="C5" s="40" t="s">
        <v>69</v>
      </c>
      <c r="D5" s="41">
        <v>21373</v>
      </c>
      <c r="E5" s="39" t="s">
        <v>211</v>
      </c>
      <c r="F5" s="39" t="s">
        <v>74</v>
      </c>
      <c r="G5" s="39" t="s">
        <v>78</v>
      </c>
      <c r="H5" s="39" t="s">
        <v>117</v>
      </c>
      <c r="I5" s="39" t="s">
        <v>83</v>
      </c>
      <c r="J5" s="39" t="s">
        <v>127</v>
      </c>
      <c r="K5" s="39" t="s">
        <v>162</v>
      </c>
      <c r="L5" s="43">
        <v>1986</v>
      </c>
      <c r="M5" s="43">
        <v>41122</v>
      </c>
      <c r="N5" s="44">
        <v>35063</v>
      </c>
      <c r="O5" s="39">
        <v>1995</v>
      </c>
      <c r="P5" s="44"/>
      <c r="Q5" s="39"/>
      <c r="R5" s="39" t="s">
        <v>200</v>
      </c>
      <c r="S5" s="39" t="s">
        <v>203</v>
      </c>
      <c r="T5" s="43">
        <v>45107</v>
      </c>
      <c r="U5" s="37">
        <f>YEARFRAC(N5,T5)</f>
        <v>27.5</v>
      </c>
      <c r="V5" s="37">
        <f>35.7333333333333+3</f>
        <v>38.733333333333299</v>
      </c>
      <c r="W5" s="39" t="s">
        <v>203</v>
      </c>
    </row>
    <row r="6" spans="1:23" s="42" customFormat="1" ht="12.75" x14ac:dyDescent="0.25">
      <c r="A6" s="39">
        <v>4</v>
      </c>
      <c r="B6" s="40" t="s">
        <v>26</v>
      </c>
      <c r="C6" s="40" t="s">
        <v>69</v>
      </c>
      <c r="D6" s="41">
        <v>23265</v>
      </c>
      <c r="E6" s="39" t="s">
        <v>212</v>
      </c>
      <c r="F6" s="39" t="s">
        <v>75</v>
      </c>
      <c r="G6" s="39" t="s">
        <v>77</v>
      </c>
      <c r="H6" s="39" t="s">
        <v>117</v>
      </c>
      <c r="I6" s="39" t="s">
        <v>82</v>
      </c>
      <c r="J6" s="39" t="s">
        <v>128</v>
      </c>
      <c r="K6" s="39" t="s">
        <v>164</v>
      </c>
      <c r="L6" s="43">
        <v>41363</v>
      </c>
      <c r="M6" s="43">
        <v>42846</v>
      </c>
      <c r="N6" s="44">
        <v>35704</v>
      </c>
      <c r="O6" s="39">
        <v>1997</v>
      </c>
      <c r="P6" s="44"/>
      <c r="Q6" s="39"/>
      <c r="R6" s="39" t="s">
        <v>200</v>
      </c>
      <c r="S6" s="39" t="s">
        <v>203</v>
      </c>
      <c r="T6" s="43">
        <v>45107</v>
      </c>
      <c r="U6" s="37">
        <f t="shared" ref="U6:U7" si="1">YEARFRAC(N6,T6)</f>
        <v>25.747222222222224</v>
      </c>
      <c r="V6" s="37">
        <f>34+3</f>
        <v>37</v>
      </c>
      <c r="W6" s="39" t="s">
        <v>203</v>
      </c>
    </row>
    <row r="7" spans="1:23" s="42" customFormat="1" ht="12.75" x14ac:dyDescent="0.25">
      <c r="A7" s="39">
        <v>5</v>
      </c>
      <c r="B7" s="40" t="s">
        <v>27</v>
      </c>
      <c r="C7" s="40" t="s">
        <v>69</v>
      </c>
      <c r="D7" s="41">
        <v>23265</v>
      </c>
      <c r="E7" s="39" t="s">
        <v>213</v>
      </c>
      <c r="F7" s="39" t="s">
        <v>74</v>
      </c>
      <c r="G7" s="39" t="s">
        <v>77</v>
      </c>
      <c r="H7" s="39" t="s">
        <v>117</v>
      </c>
      <c r="I7" s="39" t="s">
        <v>84</v>
      </c>
      <c r="J7" s="39" t="s">
        <v>129</v>
      </c>
      <c r="K7" s="39" t="s">
        <v>165</v>
      </c>
      <c r="L7" s="43">
        <v>34095</v>
      </c>
      <c r="M7" s="43">
        <v>39264</v>
      </c>
      <c r="N7" s="44">
        <v>35062</v>
      </c>
      <c r="O7" s="39">
        <v>1995</v>
      </c>
      <c r="P7" s="44"/>
      <c r="Q7" s="39"/>
      <c r="R7" s="39" t="s">
        <v>200</v>
      </c>
      <c r="S7" s="39" t="s">
        <v>203</v>
      </c>
      <c r="T7" s="43">
        <v>45107</v>
      </c>
      <c r="U7" s="37">
        <f t="shared" si="1"/>
        <v>27.502777777777776</v>
      </c>
      <c r="V7" s="37">
        <f>26.1666666666667+3</f>
        <v>29.1666666666667</v>
      </c>
      <c r="W7" s="39" t="s">
        <v>203</v>
      </c>
    </row>
    <row r="8" spans="1:23" s="42" customFormat="1" ht="12.75" x14ac:dyDescent="0.25">
      <c r="A8" s="39">
        <v>6</v>
      </c>
      <c r="B8" s="40" t="s">
        <v>279</v>
      </c>
      <c r="C8" s="40" t="s">
        <v>69</v>
      </c>
      <c r="D8" s="41">
        <v>27538</v>
      </c>
      <c r="E8" s="39" t="s">
        <v>299</v>
      </c>
      <c r="F8" s="39" t="s">
        <v>74</v>
      </c>
      <c r="G8" s="39" t="s">
        <v>78</v>
      </c>
      <c r="H8" s="39" t="s">
        <v>117</v>
      </c>
      <c r="I8" s="39" t="s">
        <v>300</v>
      </c>
      <c r="J8" s="39" t="s">
        <v>126</v>
      </c>
      <c r="K8" s="39" t="s">
        <v>182</v>
      </c>
      <c r="L8" s="44">
        <v>41671</v>
      </c>
      <c r="M8" s="39"/>
      <c r="N8" s="44">
        <v>44490</v>
      </c>
      <c r="O8" s="39">
        <v>2021</v>
      </c>
      <c r="P8" s="44"/>
      <c r="Q8" s="39"/>
      <c r="R8" s="39" t="s">
        <v>201</v>
      </c>
      <c r="S8" s="39" t="s">
        <v>204</v>
      </c>
      <c r="T8" s="43">
        <v>45107</v>
      </c>
      <c r="U8" s="37">
        <f>YEARFRAC(N8,T8)</f>
        <v>1.6916666666666667</v>
      </c>
      <c r="V8" s="37">
        <f>21+1</f>
        <v>22</v>
      </c>
      <c r="W8" s="39" t="s">
        <v>203</v>
      </c>
    </row>
    <row r="9" spans="1:23" s="42" customFormat="1" ht="12.75" x14ac:dyDescent="0.25">
      <c r="A9" s="39">
        <v>7</v>
      </c>
      <c r="B9" s="40" t="s">
        <v>258</v>
      </c>
      <c r="C9" s="40" t="s">
        <v>69</v>
      </c>
      <c r="D9" s="41">
        <v>22906</v>
      </c>
      <c r="E9" s="39" t="s">
        <v>259</v>
      </c>
      <c r="F9" s="39" t="s">
        <v>74</v>
      </c>
      <c r="G9" s="39" t="s">
        <v>77</v>
      </c>
      <c r="H9" s="39" t="s">
        <v>328</v>
      </c>
      <c r="I9" s="39" t="s">
        <v>327</v>
      </c>
      <c r="J9" s="39" t="s">
        <v>261</v>
      </c>
      <c r="K9" s="39" t="s">
        <v>163</v>
      </c>
      <c r="L9" s="43">
        <v>35056</v>
      </c>
      <c r="M9" s="39"/>
      <c r="N9" s="44" t="s">
        <v>262</v>
      </c>
      <c r="O9" s="39">
        <v>2021</v>
      </c>
      <c r="P9" s="44"/>
      <c r="Q9" s="39"/>
      <c r="R9" s="39" t="s">
        <v>200</v>
      </c>
      <c r="S9" s="39" t="s">
        <v>203</v>
      </c>
      <c r="T9" s="43">
        <v>45107</v>
      </c>
      <c r="U9" s="37">
        <f t="shared" ref="U9:U12" si="2">YEARFRAC(N9,T9)</f>
        <v>2.4500000000000002</v>
      </c>
      <c r="V9" s="37">
        <f>22.6+2</f>
        <v>24.6</v>
      </c>
      <c r="W9" s="39" t="s">
        <v>203</v>
      </c>
    </row>
    <row r="10" spans="1:23" s="42" customFormat="1" ht="12.75" x14ac:dyDescent="0.25">
      <c r="A10" s="39">
        <v>8</v>
      </c>
      <c r="B10" s="40" t="s">
        <v>253</v>
      </c>
      <c r="C10" s="40" t="s">
        <v>69</v>
      </c>
      <c r="D10" s="41">
        <v>26949</v>
      </c>
      <c r="E10" s="39" t="s">
        <v>254</v>
      </c>
      <c r="F10" s="39" t="s">
        <v>255</v>
      </c>
      <c r="G10" s="39" t="s">
        <v>77</v>
      </c>
      <c r="H10" s="39" t="s">
        <v>118</v>
      </c>
      <c r="I10" s="39" t="s">
        <v>256</v>
      </c>
      <c r="J10" s="39" t="s">
        <v>126</v>
      </c>
      <c r="K10" s="39" t="s">
        <v>166</v>
      </c>
      <c r="L10" s="43">
        <v>37681</v>
      </c>
      <c r="M10" s="39"/>
      <c r="N10" s="44" t="s">
        <v>257</v>
      </c>
      <c r="O10" s="39">
        <v>2021</v>
      </c>
      <c r="P10" s="44"/>
      <c r="Q10" s="39"/>
      <c r="R10" s="39" t="s">
        <v>201</v>
      </c>
      <c r="S10" s="39" t="s">
        <v>203</v>
      </c>
      <c r="T10" s="43">
        <v>45107</v>
      </c>
      <c r="U10" s="37">
        <f t="shared" si="2"/>
        <v>2.1527777777777777</v>
      </c>
      <c r="V10" s="37">
        <f>13.1+2</f>
        <v>15.1</v>
      </c>
      <c r="W10" s="39" t="s">
        <v>203</v>
      </c>
    </row>
    <row r="11" spans="1:23" s="42" customFormat="1" ht="12.75" x14ac:dyDescent="0.25">
      <c r="A11" s="39">
        <v>9</v>
      </c>
      <c r="B11" s="40" t="s">
        <v>32</v>
      </c>
      <c r="C11" s="40" t="s">
        <v>69</v>
      </c>
      <c r="D11" s="41">
        <v>26392</v>
      </c>
      <c r="E11" s="39" t="s">
        <v>241</v>
      </c>
      <c r="F11" s="39" t="s">
        <v>74</v>
      </c>
      <c r="G11" s="39" t="s">
        <v>78</v>
      </c>
      <c r="H11" s="39" t="s">
        <v>117</v>
      </c>
      <c r="I11" s="39" t="s">
        <v>83</v>
      </c>
      <c r="J11" s="39" t="s">
        <v>134</v>
      </c>
      <c r="K11" s="39" t="s">
        <v>171</v>
      </c>
      <c r="L11" s="43">
        <v>36522</v>
      </c>
      <c r="M11" s="44">
        <v>44287</v>
      </c>
      <c r="N11" s="44">
        <v>38474</v>
      </c>
      <c r="O11" s="39">
        <v>2005</v>
      </c>
      <c r="P11" s="44"/>
      <c r="Q11" s="39"/>
      <c r="R11" s="39" t="s">
        <v>201</v>
      </c>
      <c r="S11" s="39" t="s">
        <v>203</v>
      </c>
      <c r="T11" s="43">
        <v>45107</v>
      </c>
      <c r="U11" s="37">
        <f t="shared" si="2"/>
        <v>18.161111111111111</v>
      </c>
      <c r="V11" s="37">
        <f>21.1+3</f>
        <v>24.1</v>
      </c>
      <c r="W11" s="39" t="s">
        <v>203</v>
      </c>
    </row>
    <row r="12" spans="1:23" s="42" customFormat="1" ht="12.75" x14ac:dyDescent="0.25">
      <c r="A12" s="39">
        <v>10</v>
      </c>
      <c r="B12" s="40" t="s">
        <v>34</v>
      </c>
      <c r="C12" s="40" t="s">
        <v>69</v>
      </c>
      <c r="D12" s="41">
        <v>26257</v>
      </c>
      <c r="E12" s="39" t="s">
        <v>239</v>
      </c>
      <c r="F12" s="39" t="s">
        <v>74</v>
      </c>
      <c r="G12" s="39" t="s">
        <v>77</v>
      </c>
      <c r="H12" s="39" t="s">
        <v>117</v>
      </c>
      <c r="I12" s="39" t="s">
        <v>91</v>
      </c>
      <c r="J12" s="39" t="s">
        <v>134</v>
      </c>
      <c r="K12" s="39" t="s">
        <v>173</v>
      </c>
      <c r="L12" s="43">
        <v>40336</v>
      </c>
      <c r="M12" s="44">
        <v>44287</v>
      </c>
      <c r="N12" s="44">
        <v>35143</v>
      </c>
      <c r="O12" s="39">
        <v>1996</v>
      </c>
      <c r="P12" s="44"/>
      <c r="Q12" s="39"/>
      <c r="R12" s="39" t="s">
        <v>201</v>
      </c>
      <c r="S12" s="39" t="s">
        <v>203</v>
      </c>
      <c r="T12" s="43">
        <v>45107</v>
      </c>
      <c r="U12" s="37">
        <f t="shared" si="2"/>
        <v>27.280555555555555</v>
      </c>
      <c r="V12" s="37">
        <f>24+3</f>
        <v>27</v>
      </c>
      <c r="W12" s="39" t="s">
        <v>203</v>
      </c>
    </row>
    <row r="13" spans="1:23" s="42" customFormat="1" ht="12.75" x14ac:dyDescent="0.25">
      <c r="A13" s="39">
        <v>11</v>
      </c>
      <c r="B13" s="40" t="s">
        <v>45</v>
      </c>
      <c r="C13" s="40" t="s">
        <v>69</v>
      </c>
      <c r="D13" s="41">
        <v>28771</v>
      </c>
      <c r="E13" s="39" t="s">
        <v>232</v>
      </c>
      <c r="F13" s="39" t="s">
        <v>74</v>
      </c>
      <c r="G13" s="39" t="s">
        <v>77</v>
      </c>
      <c r="H13" s="39" t="s">
        <v>120</v>
      </c>
      <c r="I13" s="39" t="s">
        <v>99</v>
      </c>
      <c r="J13" s="39" t="s">
        <v>129</v>
      </c>
      <c r="K13" s="39" t="s">
        <v>165</v>
      </c>
      <c r="L13" s="43">
        <v>39944</v>
      </c>
      <c r="M13" s="44">
        <v>44652</v>
      </c>
      <c r="N13" s="44" t="s">
        <v>196</v>
      </c>
      <c r="O13" s="39">
        <v>2019</v>
      </c>
      <c r="P13" s="43"/>
      <c r="Q13" s="39"/>
      <c r="R13" s="39" t="s">
        <v>201</v>
      </c>
      <c r="S13" s="39" t="s">
        <v>203</v>
      </c>
      <c r="T13" s="43">
        <v>45107</v>
      </c>
      <c r="U13" s="37">
        <f>YEARFRAC(N13,T13)</f>
        <v>4.2277777777777779</v>
      </c>
      <c r="V13" s="37">
        <f>12.5+3</f>
        <v>15.5</v>
      </c>
      <c r="W13" s="39" t="s">
        <v>203</v>
      </c>
    </row>
    <row r="14" spans="1:23" s="42" customFormat="1" ht="12.75" x14ac:dyDescent="0.25">
      <c r="A14" s="39">
        <v>12</v>
      </c>
      <c r="B14" s="40" t="s">
        <v>36</v>
      </c>
      <c r="C14" s="40" t="s">
        <v>69</v>
      </c>
      <c r="D14" s="41">
        <v>27104</v>
      </c>
      <c r="E14" s="39" t="s">
        <v>237</v>
      </c>
      <c r="F14" s="39" t="s">
        <v>74</v>
      </c>
      <c r="G14" s="39" t="s">
        <v>78</v>
      </c>
      <c r="H14" s="39" t="s">
        <v>117</v>
      </c>
      <c r="I14" s="39" t="s">
        <v>93</v>
      </c>
      <c r="J14" s="39" t="s">
        <v>135</v>
      </c>
      <c r="K14" s="39" t="s">
        <v>175</v>
      </c>
      <c r="L14" s="43">
        <v>40148</v>
      </c>
      <c r="M14" s="44">
        <v>44652</v>
      </c>
      <c r="N14" s="44">
        <v>40269</v>
      </c>
      <c r="O14" s="39">
        <v>2010</v>
      </c>
      <c r="P14" s="44"/>
      <c r="Q14" s="39"/>
      <c r="R14" s="39" t="s">
        <v>201</v>
      </c>
      <c r="S14" s="39" t="s">
        <v>204</v>
      </c>
      <c r="T14" s="43">
        <v>45107</v>
      </c>
      <c r="U14" s="37">
        <f>YEARFRAC(N14,T14)</f>
        <v>13.247222222222222</v>
      </c>
      <c r="V14" s="37">
        <f>21.6666666666667+3</f>
        <v>24.6666666666667</v>
      </c>
      <c r="W14" s="39" t="s">
        <v>203</v>
      </c>
    </row>
    <row r="15" spans="1:23" s="42" customFormat="1" ht="12.75" x14ac:dyDescent="0.25">
      <c r="A15" s="39">
        <v>13</v>
      </c>
      <c r="B15" s="40" t="s">
        <v>307</v>
      </c>
      <c r="C15" s="40" t="s">
        <v>69</v>
      </c>
      <c r="D15" s="41">
        <v>26120</v>
      </c>
      <c r="E15" s="39" t="s">
        <v>308</v>
      </c>
      <c r="F15" s="39" t="s">
        <v>74</v>
      </c>
      <c r="G15" s="39" t="s">
        <v>78</v>
      </c>
      <c r="H15" s="39" t="s">
        <v>120</v>
      </c>
      <c r="I15" s="39" t="s">
        <v>83</v>
      </c>
      <c r="J15" s="39" t="s">
        <v>134</v>
      </c>
      <c r="K15" s="39" t="s">
        <v>171</v>
      </c>
      <c r="L15" s="43">
        <v>42893</v>
      </c>
      <c r="M15" s="44"/>
      <c r="N15" s="44">
        <v>44758</v>
      </c>
      <c r="O15" s="39">
        <v>2022</v>
      </c>
      <c r="P15" s="44"/>
      <c r="Q15" s="39"/>
      <c r="R15" s="39" t="s">
        <v>201</v>
      </c>
      <c r="S15" s="39" t="s">
        <v>203</v>
      </c>
      <c r="T15" s="43">
        <v>45107</v>
      </c>
      <c r="U15" s="37">
        <f>YEARFRAC(N15,T15)</f>
        <v>0.9555555555555556</v>
      </c>
      <c r="V15" s="37">
        <v>28</v>
      </c>
      <c r="W15" s="39"/>
    </row>
    <row r="16" spans="1:23" s="42" customFormat="1" ht="12.75" x14ac:dyDescent="0.25">
      <c r="A16" s="39">
        <v>14</v>
      </c>
      <c r="B16" s="40" t="s">
        <v>33</v>
      </c>
      <c r="C16" s="40" t="s">
        <v>72</v>
      </c>
      <c r="D16" s="41">
        <v>23885</v>
      </c>
      <c r="E16" s="39" t="s">
        <v>240</v>
      </c>
      <c r="F16" s="39" t="s">
        <v>74</v>
      </c>
      <c r="G16" s="39" t="s">
        <v>77</v>
      </c>
      <c r="H16" s="39" t="s">
        <v>117</v>
      </c>
      <c r="I16" s="39" t="s">
        <v>90</v>
      </c>
      <c r="J16" s="39" t="s">
        <v>126</v>
      </c>
      <c r="K16" s="39" t="s">
        <v>172</v>
      </c>
      <c r="L16" s="43">
        <v>33797</v>
      </c>
      <c r="M16" s="44">
        <v>41275</v>
      </c>
      <c r="N16" s="44">
        <v>39235</v>
      </c>
      <c r="O16" s="39">
        <v>2007</v>
      </c>
      <c r="P16" s="44"/>
      <c r="Q16" s="39"/>
      <c r="R16" s="39" t="s">
        <v>201</v>
      </c>
      <c r="S16" s="39" t="s">
        <v>203</v>
      </c>
      <c r="T16" s="43">
        <v>45107</v>
      </c>
      <c r="U16" s="37">
        <f>YEARFRAC(N16,T16)</f>
        <v>16.077777777777779</v>
      </c>
      <c r="V16" s="37">
        <f>29+3</f>
        <v>32</v>
      </c>
      <c r="W16" s="39" t="s">
        <v>203</v>
      </c>
    </row>
    <row r="17" spans="1:23" s="42" customFormat="1" ht="12.75" x14ac:dyDescent="0.25">
      <c r="A17" s="39">
        <v>15</v>
      </c>
      <c r="B17" s="40" t="s">
        <v>35</v>
      </c>
      <c r="C17" s="40" t="s">
        <v>72</v>
      </c>
      <c r="D17" s="41">
        <v>26622</v>
      </c>
      <c r="E17" s="39" t="s">
        <v>238</v>
      </c>
      <c r="F17" s="39" t="s">
        <v>74</v>
      </c>
      <c r="G17" s="39" t="s">
        <v>78</v>
      </c>
      <c r="H17" s="39" t="s">
        <v>117</v>
      </c>
      <c r="I17" s="39" t="s">
        <v>92</v>
      </c>
      <c r="J17" s="39" t="s">
        <v>126</v>
      </c>
      <c r="K17" s="39" t="s">
        <v>174</v>
      </c>
      <c r="L17" s="43">
        <v>39629</v>
      </c>
      <c r="M17" s="43"/>
      <c r="N17" s="44">
        <v>40026</v>
      </c>
      <c r="O17" s="39">
        <v>2009</v>
      </c>
      <c r="P17" s="44"/>
      <c r="Q17" s="39"/>
      <c r="R17" s="39" t="s">
        <v>201</v>
      </c>
      <c r="S17" s="39" t="s">
        <v>203</v>
      </c>
      <c r="T17" s="43">
        <v>45107</v>
      </c>
      <c r="U17" s="37">
        <f t="shared" ref="U17:U37" si="3">YEARFRAC(N17,T17)</f>
        <v>13.91388888888889</v>
      </c>
      <c r="V17" s="37">
        <f>20+3</f>
        <v>23</v>
      </c>
      <c r="W17" s="39" t="s">
        <v>203</v>
      </c>
    </row>
    <row r="18" spans="1:23" s="42" customFormat="1" ht="12.75" x14ac:dyDescent="0.25">
      <c r="A18" s="39">
        <v>16</v>
      </c>
      <c r="B18" s="40" t="s">
        <v>38</v>
      </c>
      <c r="C18" s="40" t="s">
        <v>72</v>
      </c>
      <c r="D18" s="41">
        <v>27271</v>
      </c>
      <c r="E18" s="39" t="s">
        <v>235</v>
      </c>
      <c r="F18" s="39" t="s">
        <v>74</v>
      </c>
      <c r="G18" s="39" t="s">
        <v>77</v>
      </c>
      <c r="H18" s="39" t="s">
        <v>117</v>
      </c>
      <c r="I18" s="39" t="s">
        <v>95</v>
      </c>
      <c r="J18" s="39" t="s">
        <v>126</v>
      </c>
      <c r="K18" s="39" t="s">
        <v>172</v>
      </c>
      <c r="L18" s="43">
        <v>40575</v>
      </c>
      <c r="M18" s="43">
        <v>43191</v>
      </c>
      <c r="N18" s="44">
        <v>40634</v>
      </c>
      <c r="O18" s="39">
        <v>2011</v>
      </c>
      <c r="P18" s="44"/>
      <c r="Q18" s="39"/>
      <c r="R18" s="39" t="s">
        <v>201</v>
      </c>
      <c r="S18" s="39" t="s">
        <v>203</v>
      </c>
      <c r="T18" s="43">
        <v>45107</v>
      </c>
      <c r="U18" s="37">
        <f t="shared" si="3"/>
        <v>12.247222222222222</v>
      </c>
      <c r="V18" s="37">
        <f>19.6666666666667+3</f>
        <v>22.6666666666667</v>
      </c>
      <c r="W18" s="39" t="s">
        <v>203</v>
      </c>
    </row>
    <row r="19" spans="1:23" s="42" customFormat="1" ht="12.75" x14ac:dyDescent="0.25">
      <c r="A19" s="39">
        <v>17</v>
      </c>
      <c r="B19" s="40" t="s">
        <v>40</v>
      </c>
      <c r="C19" s="40" t="s">
        <v>72</v>
      </c>
      <c r="D19" s="41">
        <v>28230</v>
      </c>
      <c r="E19" s="39" t="s">
        <v>248</v>
      </c>
      <c r="F19" s="39" t="s">
        <v>76</v>
      </c>
      <c r="G19" s="39" t="s">
        <v>77</v>
      </c>
      <c r="H19" s="39" t="s">
        <v>117</v>
      </c>
      <c r="I19" s="39" t="s">
        <v>96</v>
      </c>
      <c r="J19" s="39" t="s">
        <v>136</v>
      </c>
      <c r="K19" s="39" t="s">
        <v>177</v>
      </c>
      <c r="L19" s="43">
        <v>41097</v>
      </c>
      <c r="M19" s="43">
        <v>43132</v>
      </c>
      <c r="N19" s="44">
        <v>41676</v>
      </c>
      <c r="O19" s="39">
        <v>2014</v>
      </c>
      <c r="P19" s="44"/>
      <c r="Q19" s="39"/>
      <c r="R19" s="39" t="s">
        <v>201</v>
      </c>
      <c r="S19" s="39" t="s">
        <v>204</v>
      </c>
      <c r="T19" s="43">
        <v>45107</v>
      </c>
      <c r="U19" s="37">
        <f t="shared" si="3"/>
        <v>9.4</v>
      </c>
      <c r="V19" s="37">
        <f>16.5+3</f>
        <v>19.5</v>
      </c>
      <c r="W19" s="39" t="s">
        <v>203</v>
      </c>
    </row>
    <row r="20" spans="1:23" s="42" customFormat="1" ht="12.75" x14ac:dyDescent="0.25">
      <c r="A20" s="39">
        <v>18</v>
      </c>
      <c r="B20" s="40" t="s">
        <v>41</v>
      </c>
      <c r="C20" s="40" t="s">
        <v>72</v>
      </c>
      <c r="D20" s="41">
        <v>26721</v>
      </c>
      <c r="E20" s="39" t="s">
        <v>234</v>
      </c>
      <c r="F20" s="39" t="s">
        <v>74</v>
      </c>
      <c r="G20" s="39" t="s">
        <v>77</v>
      </c>
      <c r="H20" s="39" t="s">
        <v>117</v>
      </c>
      <c r="I20" s="39" t="s">
        <v>97</v>
      </c>
      <c r="J20" s="39" t="s">
        <v>137</v>
      </c>
      <c r="K20" s="39" t="s">
        <v>178</v>
      </c>
      <c r="L20" s="43">
        <v>41843</v>
      </c>
      <c r="M20" s="39"/>
      <c r="N20" s="44">
        <v>42408</v>
      </c>
      <c r="O20" s="39">
        <v>2016</v>
      </c>
      <c r="P20" s="44"/>
      <c r="Q20" s="39"/>
      <c r="R20" s="39" t="s">
        <v>201</v>
      </c>
      <c r="S20" s="39" t="s">
        <v>203</v>
      </c>
      <c r="T20" s="43">
        <v>45107</v>
      </c>
      <c r="U20" s="37">
        <f t="shared" si="3"/>
        <v>7.3944444444444448</v>
      </c>
      <c r="V20" s="37">
        <f>18.75+3</f>
        <v>21.75</v>
      </c>
      <c r="W20" s="39" t="s">
        <v>203</v>
      </c>
    </row>
    <row r="21" spans="1:23" s="42" customFormat="1" ht="12.75" x14ac:dyDescent="0.25">
      <c r="A21" s="39">
        <v>19</v>
      </c>
      <c r="B21" s="40" t="s">
        <v>42</v>
      </c>
      <c r="C21" s="40" t="s">
        <v>72</v>
      </c>
      <c r="D21" s="41">
        <v>27629</v>
      </c>
      <c r="E21" s="39" t="s">
        <v>247</v>
      </c>
      <c r="F21" s="39" t="s">
        <v>76</v>
      </c>
      <c r="G21" s="39" t="s">
        <v>77</v>
      </c>
      <c r="H21" s="39" t="s">
        <v>117</v>
      </c>
      <c r="I21" s="39" t="s">
        <v>96</v>
      </c>
      <c r="J21" s="39" t="s">
        <v>138</v>
      </c>
      <c r="K21" s="39" t="s">
        <v>177</v>
      </c>
      <c r="L21" s="43">
        <v>40733</v>
      </c>
      <c r="M21" s="39"/>
      <c r="N21" s="44">
        <v>42522</v>
      </c>
      <c r="O21" s="39">
        <v>2016</v>
      </c>
      <c r="P21" s="43"/>
      <c r="Q21" s="39"/>
      <c r="R21" s="39" t="s">
        <v>201</v>
      </c>
      <c r="S21" s="39" t="s">
        <v>203</v>
      </c>
      <c r="T21" s="43">
        <v>45107</v>
      </c>
      <c r="U21" s="37">
        <f t="shared" si="3"/>
        <v>7.0805555555555557</v>
      </c>
      <c r="V21" s="37">
        <f>16.9166666666667+3</f>
        <v>19.9166666666667</v>
      </c>
      <c r="W21" s="39" t="s">
        <v>203</v>
      </c>
    </row>
    <row r="22" spans="1:23" s="42" customFormat="1" ht="12.75" x14ac:dyDescent="0.25">
      <c r="A22" s="39">
        <v>20</v>
      </c>
      <c r="B22" s="40" t="s">
        <v>44</v>
      </c>
      <c r="C22" s="40" t="s">
        <v>72</v>
      </c>
      <c r="D22" s="50">
        <v>25248</v>
      </c>
      <c r="E22" s="39" t="s">
        <v>231</v>
      </c>
      <c r="F22" s="39" t="s">
        <v>75</v>
      </c>
      <c r="G22" s="39" t="s">
        <v>77</v>
      </c>
      <c r="H22" s="39" t="s">
        <v>119</v>
      </c>
      <c r="I22" s="39" t="s">
        <v>98</v>
      </c>
      <c r="J22" s="39" t="s">
        <v>140</v>
      </c>
      <c r="K22" s="39" t="s">
        <v>180</v>
      </c>
      <c r="L22" s="43">
        <v>1994</v>
      </c>
      <c r="M22" s="39"/>
      <c r="N22" s="44">
        <v>43117</v>
      </c>
      <c r="O22" s="39">
        <v>2018</v>
      </c>
      <c r="P22" s="43">
        <v>45101</v>
      </c>
      <c r="Q22" s="39">
        <v>2023</v>
      </c>
      <c r="R22" s="39" t="s">
        <v>201</v>
      </c>
      <c r="S22" s="39" t="s">
        <v>203</v>
      </c>
      <c r="T22" s="43">
        <v>45101</v>
      </c>
      <c r="U22" s="37">
        <f t="shared" si="3"/>
        <v>5.4361111111111109</v>
      </c>
      <c r="V22" s="37">
        <f>20.4166666666667+3</f>
        <v>23.4166666666667</v>
      </c>
      <c r="W22" s="39" t="s">
        <v>204</v>
      </c>
    </row>
    <row r="23" spans="1:23" s="42" customFormat="1" ht="12.75" x14ac:dyDescent="0.25">
      <c r="A23" s="39">
        <v>21</v>
      </c>
      <c r="B23" s="40" t="s">
        <v>47</v>
      </c>
      <c r="C23" s="40" t="s">
        <v>72</v>
      </c>
      <c r="D23" s="50">
        <v>30134</v>
      </c>
      <c r="E23" s="39" t="s">
        <v>219</v>
      </c>
      <c r="F23" s="39" t="s">
        <v>74</v>
      </c>
      <c r="G23" s="39" t="s">
        <v>78</v>
      </c>
      <c r="H23" s="39" t="s">
        <v>120</v>
      </c>
      <c r="I23" s="39" t="s">
        <v>101</v>
      </c>
      <c r="J23" s="39" t="s">
        <v>125</v>
      </c>
      <c r="K23" s="39" t="s">
        <v>182</v>
      </c>
      <c r="L23" s="43">
        <v>39356</v>
      </c>
      <c r="M23" s="39"/>
      <c r="N23" s="44">
        <v>43872</v>
      </c>
      <c r="O23" s="39">
        <v>2020</v>
      </c>
      <c r="P23" s="43">
        <v>44965</v>
      </c>
      <c r="Q23" s="39">
        <v>2023</v>
      </c>
      <c r="R23" s="39" t="s">
        <v>201</v>
      </c>
      <c r="S23" s="39" t="s">
        <v>203</v>
      </c>
      <c r="T23" s="43">
        <v>44965</v>
      </c>
      <c r="U23" s="37">
        <f t="shared" si="3"/>
        <v>2.9916666666666667</v>
      </c>
      <c r="V23" s="37">
        <f>16.1+2.7</f>
        <v>18.8</v>
      </c>
      <c r="W23" s="39" t="s">
        <v>204</v>
      </c>
    </row>
    <row r="24" spans="1:23" s="42" customFormat="1" ht="12.75" x14ac:dyDescent="0.25">
      <c r="A24" s="39">
        <v>22</v>
      </c>
      <c r="B24" s="40" t="s">
        <v>48</v>
      </c>
      <c r="C24" s="40" t="s">
        <v>72</v>
      </c>
      <c r="D24" s="41">
        <v>29953</v>
      </c>
      <c r="E24" s="39" t="s">
        <v>217</v>
      </c>
      <c r="F24" s="39" t="s">
        <v>74</v>
      </c>
      <c r="G24" s="39" t="s">
        <v>78</v>
      </c>
      <c r="H24" s="39" t="s">
        <v>120</v>
      </c>
      <c r="I24" s="39" t="s">
        <v>102</v>
      </c>
      <c r="J24" s="39" t="s">
        <v>126</v>
      </c>
      <c r="K24" s="39" t="s">
        <v>183</v>
      </c>
      <c r="L24" s="43">
        <v>42464</v>
      </c>
      <c r="M24" s="39"/>
      <c r="N24" s="44">
        <v>43901</v>
      </c>
      <c r="O24" s="39">
        <v>2020</v>
      </c>
      <c r="P24" s="44"/>
      <c r="Q24" s="39"/>
      <c r="R24" s="39" t="s">
        <v>201</v>
      </c>
      <c r="S24" s="39" t="s">
        <v>203</v>
      </c>
      <c r="T24" s="43">
        <v>45107</v>
      </c>
      <c r="U24" s="37">
        <f t="shared" si="3"/>
        <v>3.3027777777777776</v>
      </c>
      <c r="V24" s="37">
        <f>14.2+2</f>
        <v>16.2</v>
      </c>
      <c r="W24" s="39" t="s">
        <v>203</v>
      </c>
    </row>
    <row r="25" spans="1:23" s="42" customFormat="1" ht="12.75" x14ac:dyDescent="0.25">
      <c r="A25" s="39">
        <v>23</v>
      </c>
      <c r="B25" s="40" t="s">
        <v>276</v>
      </c>
      <c r="C25" s="40" t="s">
        <v>72</v>
      </c>
      <c r="D25" s="41">
        <v>28321</v>
      </c>
      <c r="E25" s="39" t="s">
        <v>288</v>
      </c>
      <c r="F25" s="39" t="s">
        <v>76</v>
      </c>
      <c r="G25" s="39" t="s">
        <v>77</v>
      </c>
      <c r="H25" s="39" t="s">
        <v>120</v>
      </c>
      <c r="I25" s="39" t="s">
        <v>282</v>
      </c>
      <c r="J25" s="39" t="s">
        <v>292</v>
      </c>
      <c r="K25" s="39" t="s">
        <v>297</v>
      </c>
      <c r="L25" s="43">
        <v>39873</v>
      </c>
      <c r="M25" s="39"/>
      <c r="N25" s="44">
        <v>44489</v>
      </c>
      <c r="O25" s="39">
        <v>2021</v>
      </c>
      <c r="P25" s="44"/>
      <c r="Q25" s="39"/>
      <c r="R25" s="39" t="s">
        <v>201</v>
      </c>
      <c r="S25" s="39" t="s">
        <v>203</v>
      </c>
      <c r="T25" s="43">
        <v>45107</v>
      </c>
      <c r="U25" s="37">
        <f t="shared" si="3"/>
        <v>1.6944444444444444</v>
      </c>
      <c r="V25" s="37">
        <f>19+1</f>
        <v>20</v>
      </c>
      <c r="W25" s="39" t="s">
        <v>203</v>
      </c>
    </row>
    <row r="26" spans="1:23" s="42" customFormat="1" ht="12.75" x14ac:dyDescent="0.25">
      <c r="A26" s="39">
        <v>24</v>
      </c>
      <c r="B26" s="40" t="s">
        <v>277</v>
      </c>
      <c r="C26" s="40" t="s">
        <v>72</v>
      </c>
      <c r="D26" s="41">
        <v>30383</v>
      </c>
      <c r="E26" s="39" t="s">
        <v>286</v>
      </c>
      <c r="F26" s="39" t="s">
        <v>76</v>
      </c>
      <c r="G26" s="39" t="s">
        <v>77</v>
      </c>
      <c r="H26" s="39" t="s">
        <v>120</v>
      </c>
      <c r="I26" s="39" t="s">
        <v>290</v>
      </c>
      <c r="J26" s="39" t="s">
        <v>294</v>
      </c>
      <c r="K26" s="39" t="s">
        <v>298</v>
      </c>
      <c r="L26" s="43">
        <v>42937</v>
      </c>
      <c r="M26" s="39"/>
      <c r="N26" s="44">
        <v>44523</v>
      </c>
      <c r="O26" s="39">
        <v>2021</v>
      </c>
      <c r="P26" s="43">
        <v>45077</v>
      </c>
      <c r="Q26" s="39">
        <v>2023</v>
      </c>
      <c r="R26" s="39" t="s">
        <v>201</v>
      </c>
      <c r="S26" s="39" t="s">
        <v>204</v>
      </c>
      <c r="T26" s="43">
        <v>45077</v>
      </c>
      <c r="U26" s="37">
        <f t="shared" si="3"/>
        <v>1.5222222222222221</v>
      </c>
      <c r="V26" s="45">
        <v>9.1</v>
      </c>
      <c r="W26" s="39" t="s">
        <v>204</v>
      </c>
    </row>
    <row r="27" spans="1:23" s="42" customFormat="1" ht="12.75" x14ac:dyDescent="0.25">
      <c r="A27" s="39">
        <v>25</v>
      </c>
      <c r="B27" s="40" t="s">
        <v>273</v>
      </c>
      <c r="C27" s="40" t="s">
        <v>72</v>
      </c>
      <c r="D27" s="41">
        <v>27714</v>
      </c>
      <c r="E27" s="39" t="s">
        <v>285</v>
      </c>
      <c r="F27" s="39" t="s">
        <v>74</v>
      </c>
      <c r="G27" s="39" t="s">
        <v>78</v>
      </c>
      <c r="H27" s="39" t="s">
        <v>120</v>
      </c>
      <c r="I27" s="39" t="s">
        <v>291</v>
      </c>
      <c r="J27" s="39" t="s">
        <v>292</v>
      </c>
      <c r="K27" s="39" t="s">
        <v>295</v>
      </c>
      <c r="L27" s="43">
        <v>42060</v>
      </c>
      <c r="M27" s="39"/>
      <c r="N27" s="44">
        <v>44662</v>
      </c>
      <c r="O27" s="39">
        <v>2022</v>
      </c>
      <c r="P27" s="44"/>
      <c r="Q27" s="39"/>
      <c r="R27" s="39" t="s">
        <v>201</v>
      </c>
      <c r="S27" s="39" t="s">
        <v>203</v>
      </c>
      <c r="T27" s="43">
        <v>45107</v>
      </c>
      <c r="U27" s="37">
        <f t="shared" si="3"/>
        <v>1.2194444444444446</v>
      </c>
      <c r="V27" s="37">
        <f>17.2+1</f>
        <v>18.2</v>
      </c>
      <c r="W27" s="39" t="s">
        <v>203</v>
      </c>
    </row>
    <row r="28" spans="1:23" s="42" customFormat="1" ht="12.75" x14ac:dyDescent="0.25">
      <c r="A28" s="39">
        <v>26</v>
      </c>
      <c r="B28" s="40" t="s">
        <v>324</v>
      </c>
      <c r="C28" s="40" t="s">
        <v>72</v>
      </c>
      <c r="D28" s="41">
        <v>27294</v>
      </c>
      <c r="E28" s="39" t="s">
        <v>325</v>
      </c>
      <c r="F28" s="39" t="s">
        <v>74</v>
      </c>
      <c r="G28" s="39" t="s">
        <v>78</v>
      </c>
      <c r="H28" s="39" t="s">
        <v>329</v>
      </c>
      <c r="I28" s="39" t="s">
        <v>330</v>
      </c>
      <c r="J28" s="39" t="s">
        <v>126</v>
      </c>
      <c r="K28" s="39" t="s">
        <v>331</v>
      </c>
      <c r="L28" s="43">
        <v>42532</v>
      </c>
      <c r="M28" s="44"/>
      <c r="N28" s="44">
        <v>43911</v>
      </c>
      <c r="O28" s="39">
        <v>2020</v>
      </c>
      <c r="P28" s="44"/>
      <c r="Q28" s="39"/>
      <c r="R28" s="39" t="s">
        <v>201</v>
      </c>
      <c r="S28" s="39" t="s">
        <v>203</v>
      </c>
      <c r="T28" s="43">
        <v>45107</v>
      </c>
      <c r="U28" s="37">
        <f>YEARFRAC(N28,T28)</f>
        <v>3.2749999999999999</v>
      </c>
      <c r="V28" s="37">
        <f>19.5+3.3</f>
        <v>22.8</v>
      </c>
      <c r="W28" s="39" t="s">
        <v>203</v>
      </c>
    </row>
    <row r="29" spans="1:23" s="42" customFormat="1" ht="12.75" x14ac:dyDescent="0.25">
      <c r="A29" s="39">
        <v>27</v>
      </c>
      <c r="B29" s="40" t="s">
        <v>332</v>
      </c>
      <c r="C29" s="40" t="s">
        <v>72</v>
      </c>
      <c r="D29" s="41">
        <v>22867</v>
      </c>
      <c r="E29" s="39" t="s">
        <v>326</v>
      </c>
      <c r="F29" s="39" t="s">
        <v>74</v>
      </c>
      <c r="G29" s="39" t="s">
        <v>77</v>
      </c>
      <c r="H29" s="39" t="s">
        <v>119</v>
      </c>
      <c r="I29" s="39" t="s">
        <v>333</v>
      </c>
      <c r="J29" s="39" t="s">
        <v>126</v>
      </c>
      <c r="K29" s="39" t="s">
        <v>190</v>
      </c>
      <c r="L29" s="43">
        <v>31516</v>
      </c>
      <c r="M29" s="44"/>
      <c r="N29" s="44">
        <v>44358</v>
      </c>
      <c r="O29" s="39">
        <v>2021</v>
      </c>
      <c r="P29" s="44"/>
      <c r="Q29" s="39"/>
      <c r="R29" s="39" t="s">
        <v>200</v>
      </c>
      <c r="S29" s="39" t="s">
        <v>203</v>
      </c>
      <c r="T29" s="43">
        <v>45107</v>
      </c>
      <c r="U29" s="37">
        <f>YEARFRAC(N29,T29)</f>
        <v>2.0527777777777776</v>
      </c>
      <c r="V29" s="45">
        <f>26.1+2.1</f>
        <v>28.200000000000003</v>
      </c>
      <c r="W29" s="39" t="s">
        <v>203</v>
      </c>
    </row>
    <row r="30" spans="1:23" s="42" customFormat="1" ht="12.75" x14ac:dyDescent="0.25">
      <c r="A30" s="39">
        <v>28</v>
      </c>
      <c r="B30" s="40" t="s">
        <v>52</v>
      </c>
      <c r="C30" s="40" t="s">
        <v>73</v>
      </c>
      <c r="D30" s="41">
        <v>26820</v>
      </c>
      <c r="E30" s="39" t="s">
        <v>245</v>
      </c>
      <c r="F30" s="39" t="s">
        <v>75</v>
      </c>
      <c r="G30" s="39" t="s">
        <v>77</v>
      </c>
      <c r="H30" s="39" t="s">
        <v>117</v>
      </c>
      <c r="I30" s="39" t="s">
        <v>105</v>
      </c>
      <c r="J30" s="39" t="s">
        <v>145</v>
      </c>
      <c r="K30" s="39" t="s">
        <v>186</v>
      </c>
      <c r="L30" s="43">
        <v>44410</v>
      </c>
      <c r="M30" s="43">
        <v>43076</v>
      </c>
      <c r="N30" s="44">
        <v>38957</v>
      </c>
      <c r="O30" s="39">
        <v>2006</v>
      </c>
      <c r="P30" s="44"/>
      <c r="Q30" s="39"/>
      <c r="R30" s="39" t="s">
        <v>201</v>
      </c>
      <c r="S30" s="39" t="s">
        <v>203</v>
      </c>
      <c r="T30" s="43">
        <v>45107</v>
      </c>
      <c r="U30" s="37">
        <f t="shared" ref="U30" si="4">YEARFRAC(N30,T30)</f>
        <v>16.838888888888889</v>
      </c>
      <c r="V30" s="37">
        <f>18.6666666666667+3</f>
        <v>21.6666666666667</v>
      </c>
      <c r="W30" s="39" t="s">
        <v>203</v>
      </c>
    </row>
    <row r="31" spans="1:23" s="42" customFormat="1" ht="12.75" x14ac:dyDescent="0.25">
      <c r="A31" s="39">
        <v>29</v>
      </c>
      <c r="B31" s="40" t="s">
        <v>54</v>
      </c>
      <c r="C31" s="40" t="s">
        <v>73</v>
      </c>
      <c r="D31" s="41">
        <v>28772</v>
      </c>
      <c r="E31" s="39" t="s">
        <v>249</v>
      </c>
      <c r="F31" s="39" t="s">
        <v>76</v>
      </c>
      <c r="G31" s="39" t="s">
        <v>77</v>
      </c>
      <c r="H31" s="39" t="s">
        <v>119</v>
      </c>
      <c r="I31" s="39" t="s">
        <v>107</v>
      </c>
      <c r="J31" s="39" t="s">
        <v>146</v>
      </c>
      <c r="K31" s="39" t="s">
        <v>187</v>
      </c>
      <c r="L31" s="43">
        <v>39255</v>
      </c>
      <c r="M31" s="39"/>
      <c r="N31" s="44" t="s">
        <v>197</v>
      </c>
      <c r="O31" s="39">
        <v>2012</v>
      </c>
      <c r="P31" s="44"/>
      <c r="Q31" s="39"/>
      <c r="R31" s="39" t="s">
        <v>201</v>
      </c>
      <c r="S31" s="39" t="s">
        <v>203</v>
      </c>
      <c r="T31" s="43">
        <v>45107</v>
      </c>
      <c r="U31" s="37">
        <f t="shared" si="3"/>
        <v>11.108333333333333</v>
      </c>
      <c r="V31" s="37">
        <f>15.9166666666667+3</f>
        <v>18.9166666666667</v>
      </c>
      <c r="W31" s="39" t="s">
        <v>203</v>
      </c>
    </row>
    <row r="32" spans="1:23" s="42" customFormat="1" ht="12.75" x14ac:dyDescent="0.25">
      <c r="A32" s="39">
        <v>30</v>
      </c>
      <c r="B32" s="40" t="s">
        <v>55</v>
      </c>
      <c r="C32" s="40" t="s">
        <v>73</v>
      </c>
      <c r="D32" s="41">
        <v>23771</v>
      </c>
      <c r="E32" s="39" t="s">
        <v>230</v>
      </c>
      <c r="F32" s="39" t="s">
        <v>74</v>
      </c>
      <c r="G32" s="39" t="s">
        <v>77</v>
      </c>
      <c r="H32" s="39" t="s">
        <v>119</v>
      </c>
      <c r="I32" s="39" t="s">
        <v>108</v>
      </c>
      <c r="J32" s="39" t="s">
        <v>147</v>
      </c>
      <c r="K32" s="39" t="s">
        <v>188</v>
      </c>
      <c r="L32" s="43">
        <v>1993</v>
      </c>
      <c r="M32" s="39"/>
      <c r="N32" s="44">
        <v>38222</v>
      </c>
      <c r="O32" s="39">
        <v>2004</v>
      </c>
      <c r="P32" s="44"/>
      <c r="Q32" s="39"/>
      <c r="R32" s="39" t="s">
        <v>201</v>
      </c>
      <c r="S32" s="39" t="s">
        <v>203</v>
      </c>
      <c r="T32" s="43">
        <v>45107</v>
      </c>
      <c r="U32" s="37">
        <f t="shared" si="3"/>
        <v>18.852777777777778</v>
      </c>
      <c r="V32" s="37">
        <f>24.6666666666667+3</f>
        <v>27.6666666666667</v>
      </c>
      <c r="W32" s="39" t="s">
        <v>203</v>
      </c>
    </row>
    <row r="33" spans="1:23" s="42" customFormat="1" ht="12.75" x14ac:dyDescent="0.25">
      <c r="A33" s="39">
        <v>31</v>
      </c>
      <c r="B33" s="40" t="s">
        <v>57</v>
      </c>
      <c r="C33" s="40" t="s">
        <v>73</v>
      </c>
      <c r="D33" s="41">
        <v>29738</v>
      </c>
      <c r="E33" s="39" t="s">
        <v>228</v>
      </c>
      <c r="F33" s="39" t="s">
        <v>75</v>
      </c>
      <c r="G33" s="39" t="s">
        <v>78</v>
      </c>
      <c r="H33" s="39" t="s">
        <v>120</v>
      </c>
      <c r="I33" s="39" t="s">
        <v>110</v>
      </c>
      <c r="J33" s="39" t="s">
        <v>149</v>
      </c>
      <c r="K33" s="39" t="s">
        <v>190</v>
      </c>
      <c r="L33" s="43">
        <v>43734</v>
      </c>
      <c r="M33" s="39"/>
      <c r="N33" s="44" t="s">
        <v>198</v>
      </c>
      <c r="O33" s="39">
        <v>2016</v>
      </c>
      <c r="P33" s="44"/>
      <c r="Q33" s="39"/>
      <c r="R33" s="39" t="s">
        <v>201</v>
      </c>
      <c r="S33" s="39" t="s">
        <v>203</v>
      </c>
      <c r="T33" s="43">
        <v>45107</v>
      </c>
      <c r="U33" s="37">
        <f t="shared" si="3"/>
        <v>7.4305555555555554</v>
      </c>
      <c r="V33" s="37">
        <f>15.1+3</f>
        <v>18.100000000000001</v>
      </c>
      <c r="W33" s="39" t="s">
        <v>203</v>
      </c>
    </row>
    <row r="34" spans="1:23" s="42" customFormat="1" ht="12.75" x14ac:dyDescent="0.25">
      <c r="A34" s="39">
        <v>32</v>
      </c>
      <c r="B34" s="40" t="s">
        <v>59</v>
      </c>
      <c r="C34" s="40" t="s">
        <v>73</v>
      </c>
      <c r="D34" s="41">
        <v>29469</v>
      </c>
      <c r="E34" s="39" t="s">
        <v>226</v>
      </c>
      <c r="F34" s="39" t="s">
        <v>74</v>
      </c>
      <c r="G34" s="39" t="s">
        <v>78</v>
      </c>
      <c r="H34" s="39" t="s">
        <v>120</v>
      </c>
      <c r="I34" s="39" t="s">
        <v>105</v>
      </c>
      <c r="J34" s="39" t="s">
        <v>151</v>
      </c>
      <c r="K34" s="39" t="s">
        <v>186</v>
      </c>
      <c r="L34" s="43">
        <v>39479</v>
      </c>
      <c r="M34" s="39"/>
      <c r="N34" s="44" t="s">
        <v>199</v>
      </c>
      <c r="O34" s="39">
        <v>2017</v>
      </c>
      <c r="P34" s="44"/>
      <c r="Q34" s="39"/>
      <c r="R34" s="39" t="s">
        <v>201</v>
      </c>
      <c r="S34" s="39" t="s">
        <v>203</v>
      </c>
      <c r="T34" s="43">
        <v>45107</v>
      </c>
      <c r="U34" s="37">
        <f t="shared" si="3"/>
        <v>5.916666666666667</v>
      </c>
      <c r="V34" s="37">
        <f>15.3+3</f>
        <v>18.3</v>
      </c>
      <c r="W34" s="39" t="s">
        <v>203</v>
      </c>
    </row>
    <row r="35" spans="1:23" s="42" customFormat="1" ht="12.75" x14ac:dyDescent="0.25">
      <c r="A35" s="39">
        <v>33</v>
      </c>
      <c r="B35" s="40" t="s">
        <v>263</v>
      </c>
      <c r="C35" s="40" t="s">
        <v>73</v>
      </c>
      <c r="D35" s="41">
        <v>29967</v>
      </c>
      <c r="E35" s="39" t="s">
        <v>264</v>
      </c>
      <c r="F35" s="39" t="s">
        <v>74</v>
      </c>
      <c r="G35" s="39" t="s">
        <v>77</v>
      </c>
      <c r="H35" s="39" t="s">
        <v>119</v>
      </c>
      <c r="I35" s="39" t="s">
        <v>265</v>
      </c>
      <c r="J35" s="39" t="s">
        <v>266</v>
      </c>
      <c r="K35" s="39" t="s">
        <v>173</v>
      </c>
      <c r="L35" s="43">
        <v>41543</v>
      </c>
      <c r="M35" s="39"/>
      <c r="N35" s="44" t="s">
        <v>267</v>
      </c>
      <c r="O35" s="39">
        <v>2020</v>
      </c>
      <c r="P35" s="44"/>
      <c r="Q35" s="39"/>
      <c r="R35" s="39" t="s">
        <v>201</v>
      </c>
      <c r="S35" s="39" t="s">
        <v>203</v>
      </c>
      <c r="T35" s="43">
        <v>45107</v>
      </c>
      <c r="U35" s="37">
        <f t="shared" si="3"/>
        <v>2.5638888888888891</v>
      </c>
      <c r="V35" s="37">
        <f>5.9+2</f>
        <v>7.9</v>
      </c>
      <c r="W35" s="39" t="s">
        <v>203</v>
      </c>
    </row>
    <row r="36" spans="1:23" s="42" customFormat="1" ht="12.75" x14ac:dyDescent="0.25">
      <c r="A36" s="39">
        <v>34</v>
      </c>
      <c r="B36" s="40" t="s">
        <v>269</v>
      </c>
      <c r="C36" s="40" t="s">
        <v>73</v>
      </c>
      <c r="D36" s="41">
        <v>31888</v>
      </c>
      <c r="E36" s="39" t="s">
        <v>270</v>
      </c>
      <c r="F36" s="39" t="s">
        <v>74</v>
      </c>
      <c r="G36" s="39" t="s">
        <v>77</v>
      </c>
      <c r="H36" s="39" t="s">
        <v>119</v>
      </c>
      <c r="I36" s="39" t="s">
        <v>271</v>
      </c>
      <c r="J36" s="39" t="s">
        <v>272</v>
      </c>
      <c r="K36" s="39" t="s">
        <v>193</v>
      </c>
      <c r="L36" s="43">
        <v>40854</v>
      </c>
      <c r="M36" s="43"/>
      <c r="N36" s="44">
        <v>44639</v>
      </c>
      <c r="O36" s="39">
        <v>2022</v>
      </c>
      <c r="P36" s="43"/>
      <c r="Q36" s="43"/>
      <c r="R36" s="39" t="s">
        <v>201</v>
      </c>
      <c r="S36" s="39" t="s">
        <v>203</v>
      </c>
      <c r="T36" s="43">
        <v>45107</v>
      </c>
      <c r="U36" s="37">
        <f t="shared" si="3"/>
        <v>1.2805555555555554</v>
      </c>
      <c r="V36" s="37">
        <f>6.9+1.3</f>
        <v>8.2000000000000011</v>
      </c>
      <c r="W36" s="39" t="s">
        <v>203</v>
      </c>
    </row>
    <row r="37" spans="1:23" s="42" customFormat="1" ht="12.75" x14ac:dyDescent="0.25">
      <c r="A37" s="39">
        <v>35</v>
      </c>
      <c r="B37" s="40" t="s">
        <v>274</v>
      </c>
      <c r="C37" s="40" t="s">
        <v>73</v>
      </c>
      <c r="D37" s="41">
        <v>29169</v>
      </c>
      <c r="E37" s="39" t="s">
        <v>280</v>
      </c>
      <c r="F37" s="39" t="s">
        <v>74</v>
      </c>
      <c r="G37" s="39" t="s">
        <v>78</v>
      </c>
      <c r="H37" s="39" t="s">
        <v>120</v>
      </c>
      <c r="I37" s="39" t="s">
        <v>282</v>
      </c>
      <c r="J37" s="39" t="s">
        <v>284</v>
      </c>
      <c r="K37" s="39" t="s">
        <v>172</v>
      </c>
      <c r="L37" s="43">
        <v>41712</v>
      </c>
      <c r="M37" s="43"/>
      <c r="N37" s="44">
        <v>44494</v>
      </c>
      <c r="O37" s="39">
        <v>2021</v>
      </c>
      <c r="P37" s="43"/>
      <c r="Q37" s="43"/>
      <c r="R37" s="39" t="s">
        <v>201</v>
      </c>
      <c r="S37" s="39" t="s">
        <v>203</v>
      </c>
      <c r="T37" s="43">
        <v>45107</v>
      </c>
      <c r="U37" s="37">
        <f t="shared" si="3"/>
        <v>1.6805555555555556</v>
      </c>
      <c r="V37" s="37">
        <v>16.2</v>
      </c>
      <c r="W37" s="39" t="s">
        <v>203</v>
      </c>
    </row>
  </sheetData>
  <mergeCells count="1">
    <mergeCell ref="A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9801-AD2F-4639-B64E-8F0CB4781B9F}">
  <dimension ref="A1:W38"/>
  <sheetViews>
    <sheetView zoomScale="90" zoomScaleNormal="90" workbookViewId="0">
      <pane xSplit="2" ySplit="2" topLeftCell="C14" activePane="bottomRight" state="frozen"/>
      <selection pane="topRight" activeCell="C1" sqref="C1"/>
      <selection pane="bottomLeft" activeCell="A3" sqref="A3"/>
      <selection pane="bottomRight" activeCell="G20" sqref="G20"/>
    </sheetView>
  </sheetViews>
  <sheetFormatPr defaultRowHeight="15" x14ac:dyDescent="0.25"/>
  <cols>
    <col min="1" max="1" width="6.42578125" style="12" customWidth="1"/>
    <col min="2" max="2" width="35.42578125" style="18" bestFit="1" customWidth="1"/>
    <col min="3" max="3" width="16.42578125" style="12" bestFit="1" customWidth="1"/>
    <col min="4" max="4" width="13" style="26" bestFit="1" customWidth="1"/>
    <col min="5" max="5" width="12" style="12" bestFit="1" customWidth="1"/>
    <col min="6" max="6" width="13" style="12" bestFit="1" customWidth="1"/>
    <col min="7" max="7" width="7.7109375" style="12" bestFit="1" customWidth="1"/>
    <col min="8" max="8" width="34.28515625" style="12" bestFit="1" customWidth="1"/>
    <col min="9" max="9" width="36.140625" style="12" bestFit="1" customWidth="1"/>
    <col min="10" max="10" width="42.85546875" style="12" bestFit="1" customWidth="1"/>
    <col min="11" max="11" width="31.5703125" style="12" bestFit="1" customWidth="1"/>
    <col min="12" max="12" width="39.140625" style="12" bestFit="1" customWidth="1"/>
    <col min="13" max="13" width="57.7109375" style="12" bestFit="1" customWidth="1"/>
    <col min="14" max="14" width="27.5703125" style="12" bestFit="1" customWidth="1"/>
    <col min="15" max="15" width="15.7109375" style="12" bestFit="1" customWidth="1"/>
    <col min="16" max="16" width="17.140625" style="12" bestFit="1" customWidth="1"/>
    <col min="17" max="17" width="17.5703125" style="12" bestFit="1" customWidth="1"/>
    <col min="18" max="18" width="86.140625" style="12" bestFit="1" customWidth="1"/>
    <col min="19" max="19" width="32.7109375" style="12" bestFit="1" customWidth="1"/>
    <col min="20" max="20" width="10.140625" style="12" bestFit="1" customWidth="1"/>
    <col min="21" max="21" width="28.42578125" style="38" bestFit="1" customWidth="1"/>
    <col min="22" max="22" width="45.5703125" style="12" bestFit="1" customWidth="1"/>
    <col min="23" max="23" width="113.85546875" style="12" bestFit="1" customWidth="1"/>
    <col min="24" max="16384" width="9.140625" style="12"/>
  </cols>
  <sheetData>
    <row r="1" spans="1:23" s="1" customFormat="1" ht="12.75" x14ac:dyDescent="0.25">
      <c r="A1" s="71" t="s">
        <v>268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1" customFormat="1" ht="12.75" x14ac:dyDescent="0.25">
      <c r="A2" s="13" t="s">
        <v>6</v>
      </c>
      <c r="B2" s="17" t="s">
        <v>7</v>
      </c>
      <c r="C2" s="13" t="s">
        <v>0</v>
      </c>
      <c r="D2" s="13" t="s">
        <v>382</v>
      </c>
      <c r="E2" s="13" t="s">
        <v>1</v>
      </c>
      <c r="F2" s="13" t="s">
        <v>16</v>
      </c>
      <c r="G2" s="13" t="s">
        <v>2</v>
      </c>
      <c r="H2" s="13" t="s">
        <v>17</v>
      </c>
      <c r="I2" s="13" t="s">
        <v>12</v>
      </c>
      <c r="J2" s="13" t="s">
        <v>3</v>
      </c>
      <c r="K2" s="13" t="s">
        <v>14</v>
      </c>
      <c r="L2" s="13" t="s">
        <v>8</v>
      </c>
      <c r="M2" s="13" t="s">
        <v>15</v>
      </c>
      <c r="N2" s="14" t="s">
        <v>10</v>
      </c>
      <c r="O2" s="14" t="s">
        <v>9</v>
      </c>
      <c r="P2" s="14" t="s">
        <v>4</v>
      </c>
      <c r="Q2" s="14" t="s">
        <v>11</v>
      </c>
      <c r="R2" s="13" t="s">
        <v>18</v>
      </c>
      <c r="S2" s="13" t="s">
        <v>19</v>
      </c>
      <c r="T2" s="13" t="s">
        <v>205</v>
      </c>
      <c r="U2" s="36" t="s">
        <v>13</v>
      </c>
      <c r="V2" s="14" t="s">
        <v>20</v>
      </c>
      <c r="W2" s="15" t="s">
        <v>5</v>
      </c>
    </row>
    <row r="3" spans="1:23" s="1" customFormat="1" ht="12.75" x14ac:dyDescent="0.25">
      <c r="A3" s="2">
        <v>1</v>
      </c>
      <c r="B3" s="10" t="s">
        <v>23</v>
      </c>
      <c r="C3" s="2" t="s">
        <v>69</v>
      </c>
      <c r="D3" s="23">
        <v>24208</v>
      </c>
      <c r="E3" s="2" t="s">
        <v>209</v>
      </c>
      <c r="F3" s="2" t="s">
        <v>74</v>
      </c>
      <c r="G3" s="2" t="s">
        <v>77</v>
      </c>
      <c r="H3" s="2" t="s">
        <v>117</v>
      </c>
      <c r="I3" s="2" t="s">
        <v>81</v>
      </c>
      <c r="J3" s="2" t="s">
        <v>125</v>
      </c>
      <c r="K3" s="2" t="s">
        <v>160</v>
      </c>
      <c r="L3" s="16">
        <v>35763</v>
      </c>
      <c r="M3" s="16">
        <v>39965</v>
      </c>
      <c r="N3" s="3" t="s">
        <v>195</v>
      </c>
      <c r="O3" s="2">
        <v>1990</v>
      </c>
      <c r="P3" s="3"/>
      <c r="Q3" s="2"/>
      <c r="R3" s="2" t="s">
        <v>201</v>
      </c>
      <c r="S3" s="2" t="s">
        <v>203</v>
      </c>
      <c r="T3" s="16">
        <v>44742</v>
      </c>
      <c r="U3" s="37">
        <f>YEARFRAC(N3,T3)</f>
        <v>32.383333333333333</v>
      </c>
      <c r="V3" s="4">
        <f>U3+1</f>
        <v>33.383333333333333</v>
      </c>
      <c r="W3" s="2" t="s">
        <v>203</v>
      </c>
    </row>
    <row r="4" spans="1:23" s="1" customFormat="1" ht="12.75" x14ac:dyDescent="0.25">
      <c r="A4" s="2">
        <v>2</v>
      </c>
      <c r="B4" s="10" t="s">
        <v>24</v>
      </c>
      <c r="C4" s="2" t="s">
        <v>69</v>
      </c>
      <c r="D4" s="23">
        <v>23942</v>
      </c>
      <c r="E4" s="2" t="s">
        <v>210</v>
      </c>
      <c r="F4" s="2" t="s">
        <v>74</v>
      </c>
      <c r="G4" s="2" t="s">
        <v>77</v>
      </c>
      <c r="H4" s="2" t="s">
        <v>117</v>
      </c>
      <c r="I4" s="2" t="s">
        <v>82</v>
      </c>
      <c r="J4" s="2" t="s">
        <v>126</v>
      </c>
      <c r="K4" s="2" t="s">
        <v>161</v>
      </c>
      <c r="L4" s="16">
        <v>39046</v>
      </c>
      <c r="M4" s="16">
        <v>41821</v>
      </c>
      <c r="N4" s="3">
        <v>35101</v>
      </c>
      <c r="O4" s="2">
        <v>1996</v>
      </c>
      <c r="P4" s="3"/>
      <c r="Q4" s="2"/>
      <c r="R4" s="2" t="s">
        <v>201</v>
      </c>
      <c r="S4" s="2" t="s">
        <v>203</v>
      </c>
      <c r="T4" s="16">
        <v>44742</v>
      </c>
      <c r="U4" s="37">
        <f t="shared" ref="U4" si="0">YEARFRAC(N4,T4)</f>
        <v>26.4</v>
      </c>
      <c r="V4" s="4">
        <f>29.3333333333333+2</f>
        <v>31.3333333333333</v>
      </c>
      <c r="W4" s="2" t="s">
        <v>203</v>
      </c>
    </row>
    <row r="5" spans="1:23" s="1" customFormat="1" ht="12.75" x14ac:dyDescent="0.25">
      <c r="A5" s="2">
        <v>3</v>
      </c>
      <c r="B5" s="10" t="s">
        <v>25</v>
      </c>
      <c r="C5" s="2" t="s">
        <v>69</v>
      </c>
      <c r="D5" s="23">
        <v>21373</v>
      </c>
      <c r="E5" s="2" t="s">
        <v>211</v>
      </c>
      <c r="F5" s="2" t="s">
        <v>74</v>
      </c>
      <c r="G5" s="2" t="s">
        <v>78</v>
      </c>
      <c r="H5" s="2" t="s">
        <v>117</v>
      </c>
      <c r="I5" s="2" t="s">
        <v>83</v>
      </c>
      <c r="J5" s="2" t="s">
        <v>127</v>
      </c>
      <c r="K5" s="2" t="s">
        <v>162</v>
      </c>
      <c r="L5" s="16">
        <v>1986</v>
      </c>
      <c r="M5" s="16">
        <v>41122</v>
      </c>
      <c r="N5" s="3">
        <v>35063</v>
      </c>
      <c r="O5" s="2">
        <v>1995</v>
      </c>
      <c r="P5" s="3"/>
      <c r="Q5" s="2"/>
      <c r="R5" s="2" t="s">
        <v>200</v>
      </c>
      <c r="S5" s="2" t="s">
        <v>203</v>
      </c>
      <c r="T5" s="16">
        <v>44742</v>
      </c>
      <c r="U5" s="37">
        <f>YEARFRAC(N5,T5)</f>
        <v>26.5</v>
      </c>
      <c r="V5" s="4">
        <f>35.7333333333333+2</f>
        <v>37.733333333333299</v>
      </c>
      <c r="W5" s="2" t="s">
        <v>203</v>
      </c>
    </row>
    <row r="6" spans="1:23" s="1" customFormat="1" ht="12.75" x14ac:dyDescent="0.25">
      <c r="A6" s="2">
        <v>4</v>
      </c>
      <c r="B6" s="10" t="s">
        <v>26</v>
      </c>
      <c r="C6" s="2" t="s">
        <v>69</v>
      </c>
      <c r="D6" s="23">
        <v>23265</v>
      </c>
      <c r="E6" s="2" t="s">
        <v>212</v>
      </c>
      <c r="F6" s="2" t="s">
        <v>75</v>
      </c>
      <c r="G6" s="2" t="s">
        <v>77</v>
      </c>
      <c r="H6" s="2" t="s">
        <v>117</v>
      </c>
      <c r="I6" s="2" t="s">
        <v>82</v>
      </c>
      <c r="J6" s="2" t="s">
        <v>128</v>
      </c>
      <c r="K6" s="2" t="s">
        <v>164</v>
      </c>
      <c r="L6" s="16">
        <v>41363</v>
      </c>
      <c r="M6" s="16">
        <v>42846</v>
      </c>
      <c r="N6" s="3">
        <v>35704</v>
      </c>
      <c r="O6" s="2">
        <v>1997</v>
      </c>
      <c r="P6" s="3"/>
      <c r="Q6" s="2"/>
      <c r="R6" s="2" t="s">
        <v>200</v>
      </c>
      <c r="S6" s="2" t="s">
        <v>203</v>
      </c>
      <c r="T6" s="16">
        <v>44742</v>
      </c>
      <c r="U6" s="37">
        <f t="shared" ref="U6:U7" si="1">YEARFRAC(N6,T6)</f>
        <v>24.747222222222224</v>
      </c>
      <c r="V6" s="4">
        <f>34+2</f>
        <v>36</v>
      </c>
      <c r="W6" s="2" t="s">
        <v>203</v>
      </c>
    </row>
    <row r="7" spans="1:23" s="1" customFormat="1" ht="12.75" x14ac:dyDescent="0.25">
      <c r="A7" s="2">
        <v>5</v>
      </c>
      <c r="B7" s="10" t="s">
        <v>27</v>
      </c>
      <c r="C7" s="2" t="s">
        <v>69</v>
      </c>
      <c r="D7" s="23">
        <v>23265</v>
      </c>
      <c r="E7" s="2" t="s">
        <v>213</v>
      </c>
      <c r="F7" s="2" t="s">
        <v>74</v>
      </c>
      <c r="G7" s="2" t="s">
        <v>77</v>
      </c>
      <c r="H7" s="2" t="s">
        <v>117</v>
      </c>
      <c r="I7" s="2" t="s">
        <v>84</v>
      </c>
      <c r="J7" s="2" t="s">
        <v>129</v>
      </c>
      <c r="K7" s="2" t="s">
        <v>165</v>
      </c>
      <c r="L7" s="16">
        <v>34095</v>
      </c>
      <c r="M7" s="16">
        <v>39264</v>
      </c>
      <c r="N7" s="3">
        <v>35062</v>
      </c>
      <c r="O7" s="2">
        <v>1995</v>
      </c>
      <c r="P7" s="3"/>
      <c r="Q7" s="2"/>
      <c r="R7" s="2" t="s">
        <v>200</v>
      </c>
      <c r="S7" s="2" t="s">
        <v>203</v>
      </c>
      <c r="T7" s="16">
        <v>44742</v>
      </c>
      <c r="U7" s="37">
        <f t="shared" si="1"/>
        <v>26.502777777777776</v>
      </c>
      <c r="V7" s="4">
        <f>26.1666666666667+2</f>
        <v>28.1666666666667</v>
      </c>
      <c r="W7" s="2" t="s">
        <v>203</v>
      </c>
    </row>
    <row r="8" spans="1:23" s="1" customFormat="1" ht="12.75" x14ac:dyDescent="0.25">
      <c r="A8" s="2">
        <v>6</v>
      </c>
      <c r="B8" s="10" t="s">
        <v>279</v>
      </c>
      <c r="C8" s="2" t="s">
        <v>69</v>
      </c>
      <c r="D8" s="23">
        <v>27538</v>
      </c>
      <c r="E8" s="20" t="s">
        <v>299</v>
      </c>
      <c r="F8" s="2" t="s">
        <v>74</v>
      </c>
      <c r="G8" s="2" t="s">
        <v>78</v>
      </c>
      <c r="H8" s="2" t="s">
        <v>117</v>
      </c>
      <c r="I8" s="2" t="s">
        <v>300</v>
      </c>
      <c r="J8" s="2" t="s">
        <v>126</v>
      </c>
      <c r="K8" s="2" t="s">
        <v>182</v>
      </c>
      <c r="L8" s="3">
        <v>41671</v>
      </c>
      <c r="M8" s="2"/>
      <c r="N8" s="3">
        <v>44490</v>
      </c>
      <c r="O8" s="2">
        <v>2021</v>
      </c>
      <c r="P8" s="3"/>
      <c r="Q8" s="2"/>
      <c r="R8" s="2" t="s">
        <v>201</v>
      </c>
      <c r="S8" s="2" t="s">
        <v>204</v>
      </c>
      <c r="T8" s="16">
        <v>44742</v>
      </c>
      <c r="U8" s="37">
        <f>YEARFRAC(N8,T8)</f>
        <v>0.69166666666666665</v>
      </c>
      <c r="V8" s="4">
        <v>21</v>
      </c>
      <c r="W8" s="2" t="s">
        <v>203</v>
      </c>
    </row>
    <row r="9" spans="1:23" s="1" customFormat="1" ht="12.75" x14ac:dyDescent="0.25">
      <c r="A9" s="2">
        <v>7</v>
      </c>
      <c r="B9" s="10" t="s">
        <v>258</v>
      </c>
      <c r="C9" s="2" t="s">
        <v>69</v>
      </c>
      <c r="D9" s="23">
        <v>22906</v>
      </c>
      <c r="E9" s="2" t="s">
        <v>259</v>
      </c>
      <c r="F9" s="2" t="s">
        <v>74</v>
      </c>
      <c r="G9" s="2" t="s">
        <v>77</v>
      </c>
      <c r="H9" s="2" t="s">
        <v>328</v>
      </c>
      <c r="I9" s="2" t="s">
        <v>260</v>
      </c>
      <c r="J9" s="2" t="s">
        <v>261</v>
      </c>
      <c r="K9" s="2" t="s">
        <v>163</v>
      </c>
      <c r="L9" s="16">
        <v>35056</v>
      </c>
      <c r="M9" s="2"/>
      <c r="N9" s="3" t="s">
        <v>262</v>
      </c>
      <c r="O9" s="2">
        <v>2021</v>
      </c>
      <c r="P9" s="3"/>
      <c r="Q9" s="2"/>
      <c r="R9" s="2" t="s">
        <v>200</v>
      </c>
      <c r="S9" s="2" t="s">
        <v>203</v>
      </c>
      <c r="T9" s="16">
        <v>44742</v>
      </c>
      <c r="U9" s="37">
        <f t="shared" ref="U9:U12" si="2">YEARFRAC(N9,T9)</f>
        <v>1.45</v>
      </c>
      <c r="V9" s="4">
        <f>22.6+1</f>
        <v>23.6</v>
      </c>
      <c r="W9" s="2" t="s">
        <v>203</v>
      </c>
    </row>
    <row r="10" spans="1:23" s="1" customFormat="1" ht="12.75" x14ac:dyDescent="0.25">
      <c r="A10" s="2">
        <v>8</v>
      </c>
      <c r="B10" s="10" t="s">
        <v>253</v>
      </c>
      <c r="C10" s="2" t="s">
        <v>69</v>
      </c>
      <c r="D10" s="23">
        <v>26949</v>
      </c>
      <c r="E10" s="2" t="s">
        <v>254</v>
      </c>
      <c r="F10" s="2" t="s">
        <v>255</v>
      </c>
      <c r="G10" s="2" t="s">
        <v>77</v>
      </c>
      <c r="H10" s="2" t="s">
        <v>118</v>
      </c>
      <c r="I10" s="2" t="s">
        <v>256</v>
      </c>
      <c r="J10" s="2" t="s">
        <v>126</v>
      </c>
      <c r="K10" s="2" t="s">
        <v>166</v>
      </c>
      <c r="L10" s="16">
        <v>37681</v>
      </c>
      <c r="M10" s="2"/>
      <c r="N10" s="3" t="s">
        <v>257</v>
      </c>
      <c r="O10" s="2">
        <v>2021</v>
      </c>
      <c r="P10" s="3"/>
      <c r="Q10" s="2"/>
      <c r="R10" s="2" t="s">
        <v>201</v>
      </c>
      <c r="S10" s="2" t="s">
        <v>203</v>
      </c>
      <c r="T10" s="16">
        <v>44742</v>
      </c>
      <c r="U10" s="37">
        <f t="shared" si="2"/>
        <v>1.1527777777777777</v>
      </c>
      <c r="V10" s="4">
        <f>13.1+1</f>
        <v>14.1</v>
      </c>
      <c r="W10" s="2" t="s">
        <v>203</v>
      </c>
    </row>
    <row r="11" spans="1:23" s="1" customFormat="1" ht="12.75" x14ac:dyDescent="0.25">
      <c r="A11" s="2">
        <v>9</v>
      </c>
      <c r="B11" s="10" t="s">
        <v>32</v>
      </c>
      <c r="C11" s="2" t="s">
        <v>69</v>
      </c>
      <c r="D11" s="23">
        <v>26392</v>
      </c>
      <c r="E11" s="2" t="s">
        <v>241</v>
      </c>
      <c r="F11" s="2" t="s">
        <v>74</v>
      </c>
      <c r="G11" s="2" t="s">
        <v>78</v>
      </c>
      <c r="H11" s="2" t="s">
        <v>117</v>
      </c>
      <c r="I11" s="2" t="s">
        <v>83</v>
      </c>
      <c r="J11" s="2" t="s">
        <v>134</v>
      </c>
      <c r="K11" s="2" t="s">
        <v>171</v>
      </c>
      <c r="L11" s="16">
        <v>36522</v>
      </c>
      <c r="M11" s="3">
        <v>44287</v>
      </c>
      <c r="N11" s="3">
        <v>38474</v>
      </c>
      <c r="O11" s="2">
        <v>2005</v>
      </c>
      <c r="P11" s="3"/>
      <c r="Q11" s="2"/>
      <c r="R11" s="2" t="s">
        <v>201</v>
      </c>
      <c r="S11" s="2" t="s">
        <v>203</v>
      </c>
      <c r="T11" s="16">
        <v>44742</v>
      </c>
      <c r="U11" s="37">
        <f t="shared" si="2"/>
        <v>17.161111111111111</v>
      </c>
      <c r="V11" s="4">
        <f>21.1+2</f>
        <v>23.1</v>
      </c>
      <c r="W11" s="2" t="s">
        <v>203</v>
      </c>
    </row>
    <row r="12" spans="1:23" s="1" customFormat="1" ht="12.75" x14ac:dyDescent="0.25">
      <c r="A12" s="2">
        <v>10</v>
      </c>
      <c r="B12" s="10" t="s">
        <v>34</v>
      </c>
      <c r="C12" s="2" t="s">
        <v>69</v>
      </c>
      <c r="D12" s="23">
        <v>26257</v>
      </c>
      <c r="E12" s="2" t="s">
        <v>239</v>
      </c>
      <c r="F12" s="2" t="s">
        <v>74</v>
      </c>
      <c r="G12" s="2" t="s">
        <v>77</v>
      </c>
      <c r="H12" s="2" t="s">
        <v>117</v>
      </c>
      <c r="I12" s="2" t="s">
        <v>91</v>
      </c>
      <c r="J12" s="2" t="s">
        <v>134</v>
      </c>
      <c r="K12" s="2" t="s">
        <v>173</v>
      </c>
      <c r="L12" s="16">
        <v>40336</v>
      </c>
      <c r="M12" s="3">
        <v>44287</v>
      </c>
      <c r="N12" s="3">
        <v>35143</v>
      </c>
      <c r="O12" s="2">
        <v>1996</v>
      </c>
      <c r="P12" s="3"/>
      <c r="Q12" s="2"/>
      <c r="R12" s="2" t="s">
        <v>201</v>
      </c>
      <c r="S12" s="2" t="s">
        <v>203</v>
      </c>
      <c r="T12" s="16">
        <v>44742</v>
      </c>
      <c r="U12" s="37">
        <f t="shared" si="2"/>
        <v>26.280555555555555</v>
      </c>
      <c r="V12" s="4">
        <f>24+2</f>
        <v>26</v>
      </c>
      <c r="W12" s="2" t="s">
        <v>203</v>
      </c>
    </row>
    <row r="13" spans="1:23" s="1" customFormat="1" ht="12.75" x14ac:dyDescent="0.25">
      <c r="A13" s="2">
        <v>11</v>
      </c>
      <c r="B13" s="10" t="s">
        <v>45</v>
      </c>
      <c r="C13" s="2" t="s">
        <v>69</v>
      </c>
      <c r="D13" s="23">
        <v>28771</v>
      </c>
      <c r="E13" s="2" t="s">
        <v>232</v>
      </c>
      <c r="F13" s="2" t="s">
        <v>74</v>
      </c>
      <c r="G13" s="2" t="s">
        <v>77</v>
      </c>
      <c r="H13" s="2" t="s">
        <v>120</v>
      </c>
      <c r="I13" s="2" t="s">
        <v>99</v>
      </c>
      <c r="J13" s="2" t="s">
        <v>129</v>
      </c>
      <c r="K13" s="2" t="s">
        <v>165</v>
      </c>
      <c r="L13" s="16">
        <v>39944</v>
      </c>
      <c r="M13" s="3">
        <v>44652</v>
      </c>
      <c r="N13" s="3" t="s">
        <v>196</v>
      </c>
      <c r="O13" s="2">
        <v>2019</v>
      </c>
      <c r="P13" s="16"/>
      <c r="Q13" s="2"/>
      <c r="R13" s="2" t="s">
        <v>201</v>
      </c>
      <c r="S13" s="2" t="s">
        <v>203</v>
      </c>
      <c r="T13" s="16">
        <v>44742</v>
      </c>
      <c r="U13" s="37">
        <f>YEARFRAC(N13,T13)</f>
        <v>3.2277777777777779</v>
      </c>
      <c r="V13" s="4">
        <f>12.5+2</f>
        <v>14.5</v>
      </c>
      <c r="W13" s="2" t="s">
        <v>203</v>
      </c>
    </row>
    <row r="14" spans="1:23" s="1" customFormat="1" ht="12.75" x14ac:dyDescent="0.25">
      <c r="A14" s="2">
        <v>12</v>
      </c>
      <c r="B14" s="10" t="s">
        <v>36</v>
      </c>
      <c r="C14" s="2" t="s">
        <v>69</v>
      </c>
      <c r="D14" s="23">
        <v>27104</v>
      </c>
      <c r="E14" s="2" t="s">
        <v>237</v>
      </c>
      <c r="F14" s="2" t="s">
        <v>74</v>
      </c>
      <c r="G14" s="2" t="s">
        <v>78</v>
      </c>
      <c r="H14" s="2" t="s">
        <v>117</v>
      </c>
      <c r="I14" s="2" t="s">
        <v>93</v>
      </c>
      <c r="J14" s="2" t="s">
        <v>135</v>
      </c>
      <c r="K14" s="2" t="s">
        <v>175</v>
      </c>
      <c r="L14" s="16">
        <v>40148</v>
      </c>
      <c r="M14" s="3">
        <v>44652</v>
      </c>
      <c r="N14" s="3">
        <v>40269</v>
      </c>
      <c r="O14" s="2">
        <v>2010</v>
      </c>
      <c r="P14" s="3"/>
      <c r="Q14" s="2"/>
      <c r="R14" s="2" t="s">
        <v>201</v>
      </c>
      <c r="S14" s="2" t="s">
        <v>204</v>
      </c>
      <c r="T14" s="16">
        <v>44742</v>
      </c>
      <c r="U14" s="37">
        <f>YEARFRAC(N14,T14)</f>
        <v>12.247222222222222</v>
      </c>
      <c r="V14" s="4">
        <f>21.6666666666667+2</f>
        <v>23.6666666666667</v>
      </c>
      <c r="W14" s="2" t="s">
        <v>203</v>
      </c>
    </row>
    <row r="15" spans="1:23" s="1" customFormat="1" ht="12.75" x14ac:dyDescent="0.25">
      <c r="A15" s="2">
        <v>13</v>
      </c>
      <c r="B15" s="10" t="s">
        <v>33</v>
      </c>
      <c r="C15" s="2" t="s">
        <v>72</v>
      </c>
      <c r="D15" s="23">
        <v>23885</v>
      </c>
      <c r="E15" s="2" t="s">
        <v>240</v>
      </c>
      <c r="F15" s="2" t="s">
        <v>74</v>
      </c>
      <c r="G15" s="2" t="s">
        <v>77</v>
      </c>
      <c r="H15" s="2" t="s">
        <v>117</v>
      </c>
      <c r="I15" s="2" t="s">
        <v>90</v>
      </c>
      <c r="J15" s="2" t="s">
        <v>126</v>
      </c>
      <c r="K15" s="2" t="s">
        <v>172</v>
      </c>
      <c r="L15" s="16">
        <v>33797</v>
      </c>
      <c r="M15" s="3">
        <v>41275</v>
      </c>
      <c r="N15" s="3">
        <v>39235</v>
      </c>
      <c r="O15" s="2">
        <v>2007</v>
      </c>
      <c r="P15" s="3"/>
      <c r="Q15" s="2"/>
      <c r="R15" s="2" t="s">
        <v>201</v>
      </c>
      <c r="S15" s="2" t="s">
        <v>203</v>
      </c>
      <c r="T15" s="16">
        <v>44742</v>
      </c>
      <c r="U15" s="37">
        <f>YEARFRAC(N15,T15)</f>
        <v>15.077777777777778</v>
      </c>
      <c r="V15" s="4">
        <f>29+2</f>
        <v>31</v>
      </c>
      <c r="W15" s="2" t="s">
        <v>203</v>
      </c>
    </row>
    <row r="16" spans="1:23" s="1" customFormat="1" ht="12.75" x14ac:dyDescent="0.25">
      <c r="A16" s="2">
        <v>14</v>
      </c>
      <c r="B16" s="10" t="s">
        <v>35</v>
      </c>
      <c r="C16" s="2" t="s">
        <v>72</v>
      </c>
      <c r="D16" s="23">
        <v>26622</v>
      </c>
      <c r="E16" s="2" t="s">
        <v>238</v>
      </c>
      <c r="F16" s="2" t="s">
        <v>74</v>
      </c>
      <c r="G16" s="2" t="s">
        <v>78</v>
      </c>
      <c r="H16" s="2" t="s">
        <v>117</v>
      </c>
      <c r="I16" s="2" t="s">
        <v>92</v>
      </c>
      <c r="J16" s="2" t="s">
        <v>126</v>
      </c>
      <c r="K16" s="2" t="s">
        <v>174</v>
      </c>
      <c r="L16" s="16">
        <v>39629</v>
      </c>
      <c r="M16" s="16"/>
      <c r="N16" s="3">
        <v>40026</v>
      </c>
      <c r="O16" s="2">
        <v>2009</v>
      </c>
      <c r="P16" s="3"/>
      <c r="Q16" s="2"/>
      <c r="R16" s="2" t="s">
        <v>201</v>
      </c>
      <c r="S16" s="2" t="s">
        <v>203</v>
      </c>
      <c r="T16" s="16">
        <v>44742</v>
      </c>
      <c r="U16" s="37">
        <f t="shared" ref="U16:U38" si="3">YEARFRAC(N16,T16)</f>
        <v>12.91388888888889</v>
      </c>
      <c r="V16" s="4">
        <f>20+2</f>
        <v>22</v>
      </c>
      <c r="W16" s="2" t="s">
        <v>203</v>
      </c>
    </row>
    <row r="17" spans="1:23" s="1" customFormat="1" ht="12.75" x14ac:dyDescent="0.25">
      <c r="A17" s="2">
        <v>15</v>
      </c>
      <c r="B17" s="10" t="s">
        <v>38</v>
      </c>
      <c r="C17" s="2" t="s">
        <v>72</v>
      </c>
      <c r="D17" s="23">
        <v>27271</v>
      </c>
      <c r="E17" s="2" t="s">
        <v>235</v>
      </c>
      <c r="F17" s="2" t="s">
        <v>74</v>
      </c>
      <c r="G17" s="2" t="s">
        <v>77</v>
      </c>
      <c r="H17" s="2" t="s">
        <v>117</v>
      </c>
      <c r="I17" s="2" t="s">
        <v>95</v>
      </c>
      <c r="J17" s="2" t="s">
        <v>126</v>
      </c>
      <c r="K17" s="2" t="s">
        <v>172</v>
      </c>
      <c r="L17" s="16">
        <v>40575</v>
      </c>
      <c r="M17" s="16">
        <v>43191</v>
      </c>
      <c r="N17" s="3">
        <v>40634</v>
      </c>
      <c r="O17" s="2">
        <v>2011</v>
      </c>
      <c r="P17" s="3"/>
      <c r="Q17" s="2"/>
      <c r="R17" s="2" t="s">
        <v>201</v>
      </c>
      <c r="S17" s="2" t="s">
        <v>203</v>
      </c>
      <c r="T17" s="16">
        <v>44742</v>
      </c>
      <c r="U17" s="37">
        <f t="shared" si="3"/>
        <v>11.247222222222222</v>
      </c>
      <c r="V17" s="4">
        <f>19.6666666666667+2</f>
        <v>21.6666666666667</v>
      </c>
      <c r="W17" s="2" t="s">
        <v>203</v>
      </c>
    </row>
    <row r="18" spans="1:23" s="1" customFormat="1" ht="12.75" x14ac:dyDescent="0.25">
      <c r="A18" s="2">
        <v>16</v>
      </c>
      <c r="B18" s="10" t="s">
        <v>40</v>
      </c>
      <c r="C18" s="2" t="s">
        <v>72</v>
      </c>
      <c r="D18" s="23">
        <v>28230</v>
      </c>
      <c r="E18" s="2" t="s">
        <v>248</v>
      </c>
      <c r="F18" s="2" t="s">
        <v>76</v>
      </c>
      <c r="G18" s="2" t="s">
        <v>77</v>
      </c>
      <c r="H18" s="2" t="s">
        <v>117</v>
      </c>
      <c r="I18" s="2" t="s">
        <v>96</v>
      </c>
      <c r="J18" s="2" t="s">
        <v>136</v>
      </c>
      <c r="K18" s="2" t="s">
        <v>177</v>
      </c>
      <c r="L18" s="16">
        <v>41097</v>
      </c>
      <c r="M18" s="16">
        <v>43132</v>
      </c>
      <c r="N18" s="3">
        <v>41676</v>
      </c>
      <c r="O18" s="2">
        <v>2014</v>
      </c>
      <c r="P18" s="3"/>
      <c r="Q18" s="2"/>
      <c r="R18" s="2" t="s">
        <v>201</v>
      </c>
      <c r="S18" s="2" t="s">
        <v>204</v>
      </c>
      <c r="T18" s="16">
        <v>44742</v>
      </c>
      <c r="U18" s="37">
        <f t="shared" si="3"/>
        <v>8.4</v>
      </c>
      <c r="V18" s="4">
        <f>16.5+2</f>
        <v>18.5</v>
      </c>
      <c r="W18" s="2" t="s">
        <v>203</v>
      </c>
    </row>
    <row r="19" spans="1:23" s="1" customFormat="1" ht="12.75" x14ac:dyDescent="0.25">
      <c r="A19" s="2">
        <v>17</v>
      </c>
      <c r="B19" s="10" t="s">
        <v>41</v>
      </c>
      <c r="C19" s="2" t="s">
        <v>72</v>
      </c>
      <c r="D19" s="23">
        <v>26721</v>
      </c>
      <c r="E19" s="2" t="s">
        <v>234</v>
      </c>
      <c r="F19" s="2" t="s">
        <v>74</v>
      </c>
      <c r="G19" s="2" t="s">
        <v>77</v>
      </c>
      <c r="H19" s="2" t="s">
        <v>117</v>
      </c>
      <c r="I19" s="2" t="s">
        <v>97</v>
      </c>
      <c r="J19" s="2" t="s">
        <v>137</v>
      </c>
      <c r="K19" s="2" t="s">
        <v>178</v>
      </c>
      <c r="L19" s="16">
        <v>41843</v>
      </c>
      <c r="M19" s="2"/>
      <c r="N19" s="3">
        <v>42408</v>
      </c>
      <c r="O19" s="2">
        <v>2016</v>
      </c>
      <c r="P19" s="3"/>
      <c r="Q19" s="2"/>
      <c r="R19" s="2" t="s">
        <v>201</v>
      </c>
      <c r="S19" s="2" t="s">
        <v>203</v>
      </c>
      <c r="T19" s="16">
        <v>44742</v>
      </c>
      <c r="U19" s="37">
        <f t="shared" si="3"/>
        <v>6.3944444444444448</v>
      </c>
      <c r="V19" s="4">
        <f>18.75+2</f>
        <v>20.75</v>
      </c>
      <c r="W19" s="2" t="s">
        <v>203</v>
      </c>
    </row>
    <row r="20" spans="1:23" s="1" customFormat="1" ht="12.75" x14ac:dyDescent="0.25">
      <c r="A20" s="2">
        <v>18</v>
      </c>
      <c r="B20" s="10" t="s">
        <v>42</v>
      </c>
      <c r="C20" s="2" t="s">
        <v>72</v>
      </c>
      <c r="D20" s="23">
        <v>27629</v>
      </c>
      <c r="E20" s="2" t="s">
        <v>247</v>
      </c>
      <c r="F20" s="2" t="s">
        <v>76</v>
      </c>
      <c r="G20" s="2" t="s">
        <v>77</v>
      </c>
      <c r="H20" s="2" t="s">
        <v>117</v>
      </c>
      <c r="I20" s="2" t="s">
        <v>96</v>
      </c>
      <c r="J20" s="2" t="s">
        <v>138</v>
      </c>
      <c r="K20" s="2" t="s">
        <v>177</v>
      </c>
      <c r="L20" s="16">
        <v>40733</v>
      </c>
      <c r="M20" s="2"/>
      <c r="N20" s="3">
        <v>42522</v>
      </c>
      <c r="O20" s="2">
        <v>2016</v>
      </c>
      <c r="P20" s="16"/>
      <c r="Q20" s="2"/>
      <c r="R20" s="2" t="s">
        <v>201</v>
      </c>
      <c r="S20" s="2" t="s">
        <v>203</v>
      </c>
      <c r="T20" s="16">
        <v>44742</v>
      </c>
      <c r="U20" s="37">
        <f t="shared" si="3"/>
        <v>6.0805555555555557</v>
      </c>
      <c r="V20" s="4">
        <f>16.9166666666667+2</f>
        <v>18.9166666666667</v>
      </c>
      <c r="W20" s="2" t="s">
        <v>203</v>
      </c>
    </row>
    <row r="21" spans="1:23" s="1" customFormat="1" ht="12.75" x14ac:dyDescent="0.25">
      <c r="A21" s="2">
        <v>19</v>
      </c>
      <c r="B21" s="10" t="s">
        <v>44</v>
      </c>
      <c r="C21" s="2" t="s">
        <v>72</v>
      </c>
      <c r="D21" s="28">
        <v>25248</v>
      </c>
      <c r="E21" s="2" t="s">
        <v>231</v>
      </c>
      <c r="F21" s="2" t="s">
        <v>75</v>
      </c>
      <c r="G21" s="2" t="s">
        <v>77</v>
      </c>
      <c r="H21" s="2" t="s">
        <v>119</v>
      </c>
      <c r="I21" s="2" t="s">
        <v>98</v>
      </c>
      <c r="J21" s="2" t="s">
        <v>140</v>
      </c>
      <c r="K21" s="2" t="s">
        <v>180</v>
      </c>
      <c r="L21" s="16">
        <v>1994</v>
      </c>
      <c r="M21" s="2"/>
      <c r="N21" s="3">
        <v>43117</v>
      </c>
      <c r="O21" s="2">
        <v>2018</v>
      </c>
      <c r="P21" s="16"/>
      <c r="Q21" s="2"/>
      <c r="R21" s="2" t="s">
        <v>201</v>
      </c>
      <c r="S21" s="2" t="s">
        <v>203</v>
      </c>
      <c r="T21" s="16">
        <v>44742</v>
      </c>
      <c r="U21" s="37">
        <f t="shared" si="3"/>
        <v>4.4527777777777775</v>
      </c>
      <c r="V21" s="4">
        <f>20.4166666666667+2</f>
        <v>22.4166666666667</v>
      </c>
      <c r="W21" s="2" t="s">
        <v>203</v>
      </c>
    </row>
    <row r="22" spans="1:23" s="1" customFormat="1" ht="12.75" x14ac:dyDescent="0.25">
      <c r="A22" s="2">
        <v>20</v>
      </c>
      <c r="B22" s="10" t="s">
        <v>47</v>
      </c>
      <c r="C22" s="2" t="s">
        <v>72</v>
      </c>
      <c r="D22" s="28">
        <v>30134</v>
      </c>
      <c r="E22" s="2" t="s">
        <v>219</v>
      </c>
      <c r="F22" s="2" t="s">
        <v>74</v>
      </c>
      <c r="G22" s="2" t="s">
        <v>78</v>
      </c>
      <c r="H22" s="2" t="s">
        <v>120</v>
      </c>
      <c r="I22" s="2" t="s">
        <v>101</v>
      </c>
      <c r="J22" s="2" t="s">
        <v>125</v>
      </c>
      <c r="K22" s="2" t="s">
        <v>182</v>
      </c>
      <c r="L22" s="16">
        <v>39356</v>
      </c>
      <c r="M22" s="2"/>
      <c r="N22" s="3">
        <v>43872</v>
      </c>
      <c r="O22" s="2">
        <v>2020</v>
      </c>
      <c r="P22" s="3"/>
      <c r="Q22" s="2"/>
      <c r="R22" s="2" t="s">
        <v>201</v>
      </c>
      <c r="S22" s="2" t="s">
        <v>203</v>
      </c>
      <c r="T22" s="16">
        <v>44742</v>
      </c>
      <c r="U22" s="37">
        <f t="shared" si="3"/>
        <v>2.3861111111111111</v>
      </c>
      <c r="V22" s="4">
        <f>16.1+1</f>
        <v>17.100000000000001</v>
      </c>
      <c r="W22" s="2" t="s">
        <v>203</v>
      </c>
    </row>
    <row r="23" spans="1:23" s="1" customFormat="1" ht="12.75" x14ac:dyDescent="0.25">
      <c r="A23" s="2">
        <v>21</v>
      </c>
      <c r="B23" s="10" t="s">
        <v>48</v>
      </c>
      <c r="C23" s="2" t="s">
        <v>72</v>
      </c>
      <c r="D23" s="23">
        <v>29953</v>
      </c>
      <c r="E23" s="2" t="s">
        <v>217</v>
      </c>
      <c r="F23" s="2" t="s">
        <v>74</v>
      </c>
      <c r="G23" s="2" t="s">
        <v>78</v>
      </c>
      <c r="H23" s="2" t="s">
        <v>120</v>
      </c>
      <c r="I23" s="2" t="s">
        <v>102</v>
      </c>
      <c r="J23" s="2" t="s">
        <v>126</v>
      </c>
      <c r="K23" s="2" t="s">
        <v>183</v>
      </c>
      <c r="L23" s="16">
        <v>42464</v>
      </c>
      <c r="M23" s="2"/>
      <c r="N23" s="3">
        <v>43901</v>
      </c>
      <c r="O23" s="2">
        <v>2020</v>
      </c>
      <c r="P23" s="3"/>
      <c r="Q23" s="2"/>
      <c r="R23" s="2" t="s">
        <v>201</v>
      </c>
      <c r="S23" s="2" t="s">
        <v>203</v>
      </c>
      <c r="T23" s="16">
        <v>44742</v>
      </c>
      <c r="U23" s="37">
        <f t="shared" si="3"/>
        <v>2.3027777777777776</v>
      </c>
      <c r="V23" s="4">
        <f>14.2+1</f>
        <v>15.2</v>
      </c>
      <c r="W23" s="2" t="s">
        <v>203</v>
      </c>
    </row>
    <row r="24" spans="1:23" s="1" customFormat="1" ht="12.75" x14ac:dyDescent="0.25">
      <c r="A24" s="2">
        <v>22</v>
      </c>
      <c r="B24" s="10" t="s">
        <v>49</v>
      </c>
      <c r="C24" s="2" t="s">
        <v>72</v>
      </c>
      <c r="D24" s="24">
        <v>32769</v>
      </c>
      <c r="E24" s="2" t="s">
        <v>242</v>
      </c>
      <c r="F24" s="2" t="s">
        <v>74</v>
      </c>
      <c r="G24" s="2" t="s">
        <v>77</v>
      </c>
      <c r="H24" s="2" t="s">
        <v>121</v>
      </c>
      <c r="I24" s="2" t="s">
        <v>103</v>
      </c>
      <c r="J24" s="2" t="s">
        <v>142</v>
      </c>
      <c r="K24" s="2" t="s">
        <v>158</v>
      </c>
      <c r="L24" s="16">
        <v>42020</v>
      </c>
      <c r="M24" s="2"/>
      <c r="N24" s="3">
        <v>43922</v>
      </c>
      <c r="O24" s="2">
        <v>2020</v>
      </c>
      <c r="P24" s="3">
        <v>44722</v>
      </c>
      <c r="Q24" s="2">
        <v>2022</v>
      </c>
      <c r="R24" s="2" t="s">
        <v>201</v>
      </c>
      <c r="S24" s="2" t="s">
        <v>203</v>
      </c>
      <c r="T24" s="3">
        <v>44722</v>
      </c>
      <c r="U24" s="37">
        <f t="shared" si="3"/>
        <v>2.1916666666666669</v>
      </c>
      <c r="V24" s="4">
        <f>10.2+1</f>
        <v>11.2</v>
      </c>
      <c r="W24" s="2" t="s">
        <v>204</v>
      </c>
    </row>
    <row r="25" spans="1:23" s="1" customFormat="1" ht="12.75" x14ac:dyDescent="0.25">
      <c r="A25" s="2">
        <v>23</v>
      </c>
      <c r="B25" s="10" t="s">
        <v>276</v>
      </c>
      <c r="C25" s="2" t="s">
        <v>72</v>
      </c>
      <c r="D25" s="23">
        <v>28321</v>
      </c>
      <c r="E25" s="20" t="s">
        <v>288</v>
      </c>
      <c r="F25" s="2" t="s">
        <v>76</v>
      </c>
      <c r="G25" s="2" t="s">
        <v>77</v>
      </c>
      <c r="H25" s="2" t="s">
        <v>120</v>
      </c>
      <c r="I25" s="2" t="s">
        <v>282</v>
      </c>
      <c r="J25" s="2" t="s">
        <v>292</v>
      </c>
      <c r="K25" s="2" t="s">
        <v>297</v>
      </c>
      <c r="L25" s="16">
        <v>39873</v>
      </c>
      <c r="M25" s="2"/>
      <c r="N25" s="3">
        <v>44489</v>
      </c>
      <c r="O25" s="2">
        <v>2021</v>
      </c>
      <c r="P25" s="3"/>
      <c r="Q25" s="2"/>
      <c r="R25" s="2" t="s">
        <v>201</v>
      </c>
      <c r="S25" s="2"/>
      <c r="T25" s="16">
        <v>44742</v>
      </c>
      <c r="U25" s="37">
        <f t="shared" si="3"/>
        <v>0.69444444444444442</v>
      </c>
      <c r="V25" s="4">
        <v>19</v>
      </c>
      <c r="W25" s="2" t="s">
        <v>203</v>
      </c>
    </row>
    <row r="26" spans="1:23" s="1" customFormat="1" ht="12.75" x14ac:dyDescent="0.25">
      <c r="A26" s="2">
        <v>24</v>
      </c>
      <c r="B26" s="10" t="s">
        <v>277</v>
      </c>
      <c r="C26" s="2" t="s">
        <v>72</v>
      </c>
      <c r="D26" s="23">
        <v>30383</v>
      </c>
      <c r="E26" s="20" t="s">
        <v>286</v>
      </c>
      <c r="F26" s="2" t="s">
        <v>76</v>
      </c>
      <c r="G26" s="2" t="s">
        <v>77</v>
      </c>
      <c r="H26" s="2" t="s">
        <v>120</v>
      </c>
      <c r="I26" s="2" t="s">
        <v>290</v>
      </c>
      <c r="J26" s="2" t="s">
        <v>294</v>
      </c>
      <c r="K26" s="2" t="s">
        <v>298</v>
      </c>
      <c r="L26" s="16">
        <v>42937</v>
      </c>
      <c r="M26" s="2"/>
      <c r="N26" s="3">
        <v>44523</v>
      </c>
      <c r="O26" s="2">
        <v>2021</v>
      </c>
      <c r="P26" s="3"/>
      <c r="Q26" s="2"/>
      <c r="R26" s="2" t="s">
        <v>201</v>
      </c>
      <c r="S26" s="2"/>
      <c r="T26" s="16">
        <v>44742</v>
      </c>
      <c r="U26" s="37">
        <f t="shared" si="3"/>
        <v>0.60277777777777775</v>
      </c>
      <c r="V26" s="4">
        <v>8</v>
      </c>
      <c r="W26" s="2" t="s">
        <v>203</v>
      </c>
    </row>
    <row r="27" spans="1:23" s="1" customFormat="1" ht="12.75" x14ac:dyDescent="0.25">
      <c r="A27" s="2">
        <v>25</v>
      </c>
      <c r="B27" s="10" t="s">
        <v>278</v>
      </c>
      <c r="C27" s="2" t="s">
        <v>72</v>
      </c>
      <c r="D27" s="28">
        <v>31730</v>
      </c>
      <c r="E27" s="20" t="s">
        <v>287</v>
      </c>
      <c r="F27" s="2" t="s">
        <v>255</v>
      </c>
      <c r="G27" s="2" t="s">
        <v>77</v>
      </c>
      <c r="H27" s="2" t="s">
        <v>118</v>
      </c>
      <c r="I27" s="2" t="s">
        <v>289</v>
      </c>
      <c r="J27" s="2" t="s">
        <v>293</v>
      </c>
      <c r="K27" s="2" t="s">
        <v>296</v>
      </c>
      <c r="L27" s="16">
        <v>41699</v>
      </c>
      <c r="M27" s="2"/>
      <c r="N27" s="3">
        <v>44518</v>
      </c>
      <c r="O27" s="2">
        <v>2021</v>
      </c>
      <c r="P27" s="3"/>
      <c r="Q27" s="2"/>
      <c r="R27" s="2" t="s">
        <v>201</v>
      </c>
      <c r="S27" s="2"/>
      <c r="T27" s="16">
        <v>44742</v>
      </c>
      <c r="U27" s="37">
        <f t="shared" si="3"/>
        <v>0.6166666666666667</v>
      </c>
      <c r="V27" s="4">
        <v>7.9</v>
      </c>
      <c r="W27" s="2" t="s">
        <v>203</v>
      </c>
    </row>
    <row r="28" spans="1:23" s="1" customFormat="1" ht="12.75" x14ac:dyDescent="0.25">
      <c r="A28" s="2">
        <v>26</v>
      </c>
      <c r="B28" s="10" t="s">
        <v>324</v>
      </c>
      <c r="C28" s="2" t="s">
        <v>72</v>
      </c>
      <c r="D28" s="23">
        <v>27294</v>
      </c>
      <c r="E28" s="2" t="s">
        <v>325</v>
      </c>
      <c r="F28" s="2" t="s">
        <v>74</v>
      </c>
      <c r="G28" s="2" t="s">
        <v>78</v>
      </c>
      <c r="H28" s="2" t="s">
        <v>329</v>
      </c>
      <c r="I28" s="2" t="s">
        <v>330</v>
      </c>
      <c r="J28" s="2" t="s">
        <v>126</v>
      </c>
      <c r="K28" s="2" t="s">
        <v>331</v>
      </c>
      <c r="L28" s="16">
        <v>42532</v>
      </c>
      <c r="M28" s="3"/>
      <c r="N28" s="3">
        <v>43911</v>
      </c>
      <c r="O28" s="2">
        <v>2020</v>
      </c>
      <c r="P28" s="3"/>
      <c r="Q28" s="2"/>
      <c r="R28" s="2" t="s">
        <v>201</v>
      </c>
      <c r="S28" s="2" t="s">
        <v>203</v>
      </c>
      <c r="T28" s="16">
        <v>44742</v>
      </c>
      <c r="U28" s="37">
        <f>YEARFRAC(N28,T28)</f>
        <v>2.2749999999999999</v>
      </c>
      <c r="V28" s="4">
        <f>19.5+2.3</f>
        <v>21.8</v>
      </c>
      <c r="W28" s="2" t="s">
        <v>203</v>
      </c>
    </row>
    <row r="29" spans="1:23" s="1" customFormat="1" ht="12.75" x14ac:dyDescent="0.25">
      <c r="A29" s="2">
        <v>27</v>
      </c>
      <c r="B29" s="10" t="s">
        <v>332</v>
      </c>
      <c r="C29" s="2" t="s">
        <v>72</v>
      </c>
      <c r="D29" s="27">
        <v>22867</v>
      </c>
      <c r="E29" s="2" t="s">
        <v>326</v>
      </c>
      <c r="F29" s="2" t="s">
        <v>74</v>
      </c>
      <c r="G29" s="2" t="s">
        <v>77</v>
      </c>
      <c r="H29" s="2" t="s">
        <v>119</v>
      </c>
      <c r="I29" s="2" t="s">
        <v>333</v>
      </c>
      <c r="J29" s="2" t="s">
        <v>126</v>
      </c>
      <c r="K29" s="2" t="s">
        <v>190</v>
      </c>
      <c r="L29" s="16">
        <v>31516</v>
      </c>
      <c r="M29" s="3"/>
      <c r="N29" s="3">
        <v>44358</v>
      </c>
      <c r="O29" s="2">
        <v>2021</v>
      </c>
      <c r="P29" s="3"/>
      <c r="Q29" s="2"/>
      <c r="R29" s="2" t="s">
        <v>200</v>
      </c>
      <c r="S29" s="2" t="s">
        <v>203</v>
      </c>
      <c r="T29" s="16">
        <v>44742</v>
      </c>
      <c r="U29" s="37">
        <f>YEARFRAC(N29,T29)</f>
        <v>1.0527777777777778</v>
      </c>
      <c r="V29" s="5">
        <f>26.1+1.1</f>
        <v>27.200000000000003</v>
      </c>
      <c r="W29" s="2" t="s">
        <v>203</v>
      </c>
    </row>
    <row r="30" spans="1:23" s="1" customFormat="1" ht="12.75" x14ac:dyDescent="0.25">
      <c r="A30" s="2">
        <v>28</v>
      </c>
      <c r="B30" s="10" t="s">
        <v>50</v>
      </c>
      <c r="C30" s="2" t="s">
        <v>73</v>
      </c>
      <c r="D30" s="28">
        <v>23632</v>
      </c>
      <c r="E30" s="2" t="s">
        <v>244</v>
      </c>
      <c r="F30" s="2" t="s">
        <v>74</v>
      </c>
      <c r="G30" s="2" t="s">
        <v>78</v>
      </c>
      <c r="H30" s="2" t="s">
        <v>119</v>
      </c>
      <c r="I30" s="2" t="s">
        <v>104</v>
      </c>
      <c r="J30" s="2" t="s">
        <v>143</v>
      </c>
      <c r="K30" s="2" t="s">
        <v>184</v>
      </c>
      <c r="L30" s="16">
        <v>32963</v>
      </c>
      <c r="M30" s="2"/>
      <c r="N30" s="3">
        <v>32945</v>
      </c>
      <c r="O30" s="2">
        <v>1990</v>
      </c>
      <c r="P30" s="3"/>
      <c r="Q30" s="2"/>
      <c r="R30" s="2" t="s">
        <v>201</v>
      </c>
      <c r="S30" s="2" t="s">
        <v>203</v>
      </c>
      <c r="T30" s="16">
        <v>44742</v>
      </c>
      <c r="U30" s="37">
        <f t="shared" si="3"/>
        <v>32.297222222222224</v>
      </c>
      <c r="V30" s="4">
        <f>30.8+2</f>
        <v>32.799999999999997</v>
      </c>
      <c r="W30" s="2" t="s">
        <v>203</v>
      </c>
    </row>
    <row r="31" spans="1:23" s="1" customFormat="1" ht="12.75" x14ac:dyDescent="0.25">
      <c r="A31" s="2">
        <v>29</v>
      </c>
      <c r="B31" s="10" t="s">
        <v>52</v>
      </c>
      <c r="C31" s="2" t="s">
        <v>73</v>
      </c>
      <c r="D31" s="23">
        <v>26820</v>
      </c>
      <c r="E31" s="2" t="s">
        <v>245</v>
      </c>
      <c r="F31" s="2" t="s">
        <v>75</v>
      </c>
      <c r="G31" s="2" t="s">
        <v>77</v>
      </c>
      <c r="H31" s="2" t="s">
        <v>117</v>
      </c>
      <c r="I31" s="2" t="s">
        <v>105</v>
      </c>
      <c r="J31" s="2" t="s">
        <v>145</v>
      </c>
      <c r="K31" s="2" t="s">
        <v>186</v>
      </c>
      <c r="L31" s="16">
        <v>44410</v>
      </c>
      <c r="M31" s="16">
        <v>43076</v>
      </c>
      <c r="N31" s="3">
        <v>38957</v>
      </c>
      <c r="O31" s="2">
        <v>2006</v>
      </c>
      <c r="P31" s="3"/>
      <c r="Q31" s="2"/>
      <c r="R31" s="2" t="s">
        <v>201</v>
      </c>
      <c r="S31" s="2" t="s">
        <v>203</v>
      </c>
      <c r="T31" s="16">
        <v>44742</v>
      </c>
      <c r="U31" s="37">
        <f t="shared" si="3"/>
        <v>15.838888888888889</v>
      </c>
      <c r="V31" s="4">
        <f>18.6666666666667+2</f>
        <v>20.6666666666667</v>
      </c>
      <c r="W31" s="2" t="s">
        <v>203</v>
      </c>
    </row>
    <row r="32" spans="1:23" s="1" customFormat="1" ht="12.75" x14ac:dyDescent="0.25">
      <c r="A32" s="2">
        <v>30</v>
      </c>
      <c r="B32" s="10" t="s">
        <v>54</v>
      </c>
      <c r="C32" s="2" t="s">
        <v>73</v>
      </c>
      <c r="D32" s="23">
        <v>28772</v>
      </c>
      <c r="E32" s="2" t="s">
        <v>249</v>
      </c>
      <c r="F32" s="2" t="s">
        <v>76</v>
      </c>
      <c r="G32" s="2" t="s">
        <v>77</v>
      </c>
      <c r="H32" s="2" t="s">
        <v>119</v>
      </c>
      <c r="I32" s="2" t="s">
        <v>107</v>
      </c>
      <c r="J32" s="2" t="s">
        <v>146</v>
      </c>
      <c r="K32" s="2" t="s">
        <v>187</v>
      </c>
      <c r="L32" s="16">
        <v>39255</v>
      </c>
      <c r="M32" s="2"/>
      <c r="N32" s="3" t="s">
        <v>197</v>
      </c>
      <c r="O32" s="2">
        <v>2012</v>
      </c>
      <c r="P32" s="3"/>
      <c r="Q32" s="2"/>
      <c r="R32" s="2" t="s">
        <v>201</v>
      </c>
      <c r="S32" s="2" t="s">
        <v>203</v>
      </c>
      <c r="T32" s="16">
        <v>44742</v>
      </c>
      <c r="U32" s="37">
        <f t="shared" si="3"/>
        <v>10.108333333333333</v>
      </c>
      <c r="V32" s="4">
        <f>15.9166666666667+2</f>
        <v>17.9166666666667</v>
      </c>
      <c r="W32" s="2" t="s">
        <v>203</v>
      </c>
    </row>
    <row r="33" spans="1:23" s="1" customFormat="1" ht="12.75" x14ac:dyDescent="0.25">
      <c r="A33" s="2">
        <v>31</v>
      </c>
      <c r="B33" s="10" t="s">
        <v>55</v>
      </c>
      <c r="C33" s="2" t="s">
        <v>73</v>
      </c>
      <c r="D33" s="23">
        <v>23771</v>
      </c>
      <c r="E33" s="2" t="s">
        <v>230</v>
      </c>
      <c r="F33" s="2" t="s">
        <v>74</v>
      </c>
      <c r="G33" s="2" t="s">
        <v>77</v>
      </c>
      <c r="H33" s="2" t="s">
        <v>119</v>
      </c>
      <c r="I33" s="2" t="s">
        <v>108</v>
      </c>
      <c r="J33" s="2" t="s">
        <v>147</v>
      </c>
      <c r="K33" s="2" t="s">
        <v>188</v>
      </c>
      <c r="L33" s="16">
        <v>1993</v>
      </c>
      <c r="M33" s="2"/>
      <c r="N33" s="3">
        <v>38222</v>
      </c>
      <c r="O33" s="2">
        <v>2004</v>
      </c>
      <c r="P33" s="3"/>
      <c r="Q33" s="2"/>
      <c r="R33" s="2" t="s">
        <v>201</v>
      </c>
      <c r="S33" s="2" t="s">
        <v>203</v>
      </c>
      <c r="T33" s="16">
        <v>44742</v>
      </c>
      <c r="U33" s="37">
        <f t="shared" si="3"/>
        <v>17.852777777777778</v>
      </c>
      <c r="V33" s="4">
        <f>24.6666666666667+2</f>
        <v>26.6666666666667</v>
      </c>
      <c r="W33" s="2" t="s">
        <v>203</v>
      </c>
    </row>
    <row r="34" spans="1:23" s="1" customFormat="1" ht="12.75" x14ac:dyDescent="0.25">
      <c r="A34" s="2">
        <v>32</v>
      </c>
      <c r="B34" s="10" t="s">
        <v>57</v>
      </c>
      <c r="C34" s="2" t="s">
        <v>73</v>
      </c>
      <c r="D34" s="23">
        <v>29738</v>
      </c>
      <c r="E34" s="2" t="s">
        <v>228</v>
      </c>
      <c r="F34" s="2" t="s">
        <v>75</v>
      </c>
      <c r="G34" s="2" t="s">
        <v>78</v>
      </c>
      <c r="H34" s="2" t="s">
        <v>120</v>
      </c>
      <c r="I34" s="2" t="s">
        <v>110</v>
      </c>
      <c r="J34" s="2" t="s">
        <v>149</v>
      </c>
      <c r="K34" s="2" t="s">
        <v>190</v>
      </c>
      <c r="L34" s="16">
        <v>43734</v>
      </c>
      <c r="M34" s="2"/>
      <c r="N34" s="3" t="s">
        <v>198</v>
      </c>
      <c r="O34" s="2">
        <v>2016</v>
      </c>
      <c r="P34" s="3"/>
      <c r="Q34" s="2"/>
      <c r="R34" s="2" t="s">
        <v>201</v>
      </c>
      <c r="S34" s="2" t="s">
        <v>203</v>
      </c>
      <c r="T34" s="16">
        <v>44742</v>
      </c>
      <c r="U34" s="37">
        <f t="shared" si="3"/>
        <v>6.4305555555555554</v>
      </c>
      <c r="V34" s="4">
        <f>15.1+2</f>
        <v>17.100000000000001</v>
      </c>
      <c r="W34" s="2" t="s">
        <v>203</v>
      </c>
    </row>
    <row r="35" spans="1:23" s="1" customFormat="1" ht="12.75" x14ac:dyDescent="0.25">
      <c r="A35" s="2">
        <v>33</v>
      </c>
      <c r="B35" s="10" t="s">
        <v>59</v>
      </c>
      <c r="C35" s="2" t="s">
        <v>73</v>
      </c>
      <c r="D35" s="24">
        <v>29469</v>
      </c>
      <c r="E35" s="2" t="s">
        <v>226</v>
      </c>
      <c r="F35" s="2" t="s">
        <v>74</v>
      </c>
      <c r="G35" s="2" t="s">
        <v>78</v>
      </c>
      <c r="H35" s="2" t="s">
        <v>120</v>
      </c>
      <c r="I35" s="2" t="s">
        <v>105</v>
      </c>
      <c r="J35" s="2" t="s">
        <v>151</v>
      </c>
      <c r="K35" s="2" t="s">
        <v>186</v>
      </c>
      <c r="L35" s="16">
        <v>39479</v>
      </c>
      <c r="M35" s="2"/>
      <c r="N35" s="3" t="s">
        <v>199</v>
      </c>
      <c r="O35" s="2">
        <v>2017</v>
      </c>
      <c r="P35" s="3"/>
      <c r="Q35" s="2"/>
      <c r="R35" s="2" t="s">
        <v>201</v>
      </c>
      <c r="S35" s="2" t="s">
        <v>203</v>
      </c>
      <c r="T35" s="16">
        <v>44742</v>
      </c>
      <c r="U35" s="37">
        <f t="shared" si="3"/>
        <v>4.916666666666667</v>
      </c>
      <c r="V35" s="4">
        <f>15.3+2</f>
        <v>17.3</v>
      </c>
      <c r="W35" s="2" t="s">
        <v>203</v>
      </c>
    </row>
    <row r="36" spans="1:23" s="1" customFormat="1" ht="12.75" x14ac:dyDescent="0.25">
      <c r="A36" s="2">
        <v>34</v>
      </c>
      <c r="B36" s="10" t="s">
        <v>263</v>
      </c>
      <c r="C36" s="2" t="s">
        <v>73</v>
      </c>
      <c r="D36" s="25">
        <v>29967</v>
      </c>
      <c r="E36" s="2" t="s">
        <v>264</v>
      </c>
      <c r="F36" s="2" t="s">
        <v>74</v>
      </c>
      <c r="G36" s="2" t="s">
        <v>77</v>
      </c>
      <c r="H36" s="2" t="s">
        <v>119</v>
      </c>
      <c r="I36" s="2" t="s">
        <v>265</v>
      </c>
      <c r="J36" s="2" t="s">
        <v>266</v>
      </c>
      <c r="K36" s="2" t="s">
        <v>173</v>
      </c>
      <c r="L36" s="16">
        <v>41543</v>
      </c>
      <c r="M36" s="2"/>
      <c r="N36" s="3" t="s">
        <v>267</v>
      </c>
      <c r="O36" s="2">
        <v>2020</v>
      </c>
      <c r="P36" s="3"/>
      <c r="Q36" s="2"/>
      <c r="R36" s="2" t="s">
        <v>201</v>
      </c>
      <c r="S36" s="2" t="s">
        <v>203</v>
      </c>
      <c r="T36" s="16">
        <v>44742</v>
      </c>
      <c r="U36" s="37">
        <f t="shared" si="3"/>
        <v>1.5638888888888889</v>
      </c>
      <c r="V36" s="4">
        <f>5.9+1</f>
        <v>6.9</v>
      </c>
      <c r="W36" s="2" t="s">
        <v>203</v>
      </c>
    </row>
    <row r="37" spans="1:23" s="1" customFormat="1" ht="12.75" x14ac:dyDescent="0.25">
      <c r="A37" s="2">
        <v>35</v>
      </c>
      <c r="B37" s="10" t="s">
        <v>274</v>
      </c>
      <c r="C37" s="2" t="s">
        <v>73</v>
      </c>
      <c r="D37" s="23">
        <v>29169</v>
      </c>
      <c r="E37" s="20" t="s">
        <v>280</v>
      </c>
      <c r="F37" s="2" t="s">
        <v>74</v>
      </c>
      <c r="G37" s="2" t="s">
        <v>78</v>
      </c>
      <c r="H37" s="2" t="s">
        <v>120</v>
      </c>
      <c r="I37" s="2" t="s">
        <v>282</v>
      </c>
      <c r="J37" s="2" t="s">
        <v>284</v>
      </c>
      <c r="K37" s="2" t="s">
        <v>172</v>
      </c>
      <c r="L37" s="16">
        <v>41712</v>
      </c>
      <c r="M37" s="16"/>
      <c r="N37" s="3">
        <v>44494</v>
      </c>
      <c r="O37" s="2">
        <v>2021</v>
      </c>
      <c r="P37" s="16"/>
      <c r="Q37" s="16"/>
      <c r="R37" s="2" t="s">
        <v>201</v>
      </c>
      <c r="S37" s="2" t="s">
        <v>203</v>
      </c>
      <c r="T37" s="16">
        <v>44742</v>
      </c>
      <c r="U37" s="37">
        <f t="shared" si="3"/>
        <v>0.68055555555555558</v>
      </c>
      <c r="V37" s="4">
        <v>15.2</v>
      </c>
      <c r="W37" s="2"/>
    </row>
    <row r="38" spans="1:23" s="1" customFormat="1" ht="12.75" x14ac:dyDescent="0.25">
      <c r="A38" s="2">
        <v>36</v>
      </c>
      <c r="B38" s="10" t="s">
        <v>275</v>
      </c>
      <c r="C38" s="2" t="s">
        <v>73</v>
      </c>
      <c r="D38" s="28">
        <v>30163</v>
      </c>
      <c r="E38" s="20" t="s">
        <v>281</v>
      </c>
      <c r="F38" s="2" t="s">
        <v>75</v>
      </c>
      <c r="G38" s="2" t="s">
        <v>78</v>
      </c>
      <c r="H38" s="2" t="s">
        <v>120</v>
      </c>
      <c r="I38" s="2" t="s">
        <v>283</v>
      </c>
      <c r="J38" s="2" t="s">
        <v>126</v>
      </c>
      <c r="K38" s="2" t="s">
        <v>171</v>
      </c>
      <c r="L38" s="16">
        <v>41352</v>
      </c>
      <c r="M38" s="16"/>
      <c r="N38" s="3">
        <v>44410</v>
      </c>
      <c r="O38" s="2">
        <v>2021</v>
      </c>
      <c r="P38" s="16"/>
      <c r="Q38" s="16"/>
      <c r="R38" s="2" t="s">
        <v>200</v>
      </c>
      <c r="S38" s="2" t="s">
        <v>203</v>
      </c>
      <c r="T38" s="16">
        <v>44742</v>
      </c>
      <c r="U38" s="37">
        <f t="shared" si="3"/>
        <v>0.91111111111111109</v>
      </c>
      <c r="V38" s="4">
        <v>17.899999999999999</v>
      </c>
      <c r="W38" s="2"/>
    </row>
  </sheetData>
  <mergeCells count="1">
    <mergeCell ref="A1:W1"/>
  </mergeCells>
  <conditionalFormatting sqref="B1:B1048576">
    <cfRule type="duplicateValues" dxfId="1" priority="5"/>
  </conditionalFormatting>
  <conditionalFormatting sqref="D30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BF1A-B6E2-4E55-8DA1-B2D09DCD2566}">
  <dimension ref="A1:W4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7" sqref="E7"/>
    </sheetView>
  </sheetViews>
  <sheetFormatPr defaultRowHeight="15" x14ac:dyDescent="0.25"/>
  <cols>
    <col min="1" max="1" width="6.140625" style="12" bestFit="1" customWidth="1"/>
    <col min="2" max="2" width="32.7109375" style="18" bestFit="1" customWidth="1"/>
    <col min="3" max="3" width="17.7109375" style="12" bestFit="1" customWidth="1"/>
    <col min="4" max="4" width="12.28515625" style="12" bestFit="1" customWidth="1"/>
    <col min="5" max="5" width="12" style="12" bestFit="1" customWidth="1"/>
    <col min="6" max="6" width="12.42578125" style="12" bestFit="1" customWidth="1"/>
    <col min="7" max="7" width="7.28515625" style="12" bestFit="1" customWidth="1"/>
    <col min="8" max="8" width="32.85546875" style="12" bestFit="1" customWidth="1"/>
    <col min="9" max="9" width="34" style="12" bestFit="1" customWidth="1"/>
    <col min="10" max="10" width="52.7109375" style="12" bestFit="1" customWidth="1"/>
    <col min="11" max="11" width="29.28515625" style="12" bestFit="1" customWidth="1"/>
    <col min="12" max="12" width="36.85546875" style="12" bestFit="1" customWidth="1"/>
    <col min="13" max="13" width="54.85546875" style="12" bestFit="1" customWidth="1"/>
    <col min="14" max="14" width="26.28515625" style="12" bestFit="1" customWidth="1"/>
    <col min="15" max="15" width="14.7109375" style="12" bestFit="1" customWidth="1"/>
    <col min="16" max="16" width="16.140625" style="12" bestFit="1" customWidth="1"/>
    <col min="17" max="17" width="16.42578125" style="12" bestFit="1" customWidth="1"/>
    <col min="18" max="18" width="80.5703125" style="12" bestFit="1" customWidth="1"/>
    <col min="19" max="19" width="31" style="12" bestFit="1" customWidth="1"/>
    <col min="20" max="20" width="10.140625" style="12" bestFit="1" customWidth="1"/>
    <col min="21" max="21" width="26.42578125" style="12" bestFit="1" customWidth="1"/>
    <col min="22" max="22" width="43.28515625" style="12" bestFit="1" customWidth="1"/>
    <col min="23" max="23" width="106.28515625" style="12" bestFit="1" customWidth="1"/>
    <col min="24" max="16384" width="9.140625" style="12"/>
  </cols>
  <sheetData>
    <row r="1" spans="1:23" s="1" customFormat="1" ht="12.75" x14ac:dyDescent="0.25">
      <c r="A1" s="71" t="s">
        <v>206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3"/>
      <c r="Q1" s="71"/>
      <c r="R1" s="71"/>
      <c r="S1" s="71"/>
      <c r="T1" s="71"/>
      <c r="U1" s="71"/>
      <c r="V1" s="71"/>
      <c r="W1" s="71"/>
    </row>
    <row r="2" spans="1:23" s="1" customFormat="1" ht="12.75" x14ac:dyDescent="0.25">
      <c r="A2" s="13" t="s">
        <v>6</v>
      </c>
      <c r="B2" s="17" t="s">
        <v>7</v>
      </c>
      <c r="C2" s="13" t="s">
        <v>0</v>
      </c>
      <c r="D2" s="13" t="s">
        <v>382</v>
      </c>
      <c r="E2" s="13" t="s">
        <v>1</v>
      </c>
      <c r="F2" s="13" t="s">
        <v>16</v>
      </c>
      <c r="G2" s="13" t="s">
        <v>2</v>
      </c>
      <c r="H2" s="13" t="s">
        <v>17</v>
      </c>
      <c r="I2" s="13" t="s">
        <v>12</v>
      </c>
      <c r="J2" s="13" t="s">
        <v>3</v>
      </c>
      <c r="K2" s="13" t="s">
        <v>14</v>
      </c>
      <c r="L2" s="13" t="s">
        <v>8</v>
      </c>
      <c r="M2" s="13" t="s">
        <v>15</v>
      </c>
      <c r="N2" s="14" t="s">
        <v>10</v>
      </c>
      <c r="O2" s="14" t="s">
        <v>9</v>
      </c>
      <c r="P2" s="14" t="s">
        <v>4</v>
      </c>
      <c r="Q2" s="14" t="s">
        <v>11</v>
      </c>
      <c r="R2" s="13" t="s">
        <v>18</v>
      </c>
      <c r="S2" s="13" t="s">
        <v>19</v>
      </c>
      <c r="T2" s="13" t="s">
        <v>205</v>
      </c>
      <c r="U2" s="13" t="s">
        <v>13</v>
      </c>
      <c r="V2" s="14" t="s">
        <v>20</v>
      </c>
      <c r="W2" s="15" t="s">
        <v>5</v>
      </c>
    </row>
    <row r="3" spans="1:23" s="1" customFormat="1" ht="12.75" x14ac:dyDescent="0.25">
      <c r="A3" s="7">
        <v>1</v>
      </c>
      <c r="B3" s="11" t="s">
        <v>23</v>
      </c>
      <c r="C3" s="7" t="s">
        <v>69</v>
      </c>
      <c r="D3" s="24">
        <v>24208</v>
      </c>
      <c r="E3" s="7" t="s">
        <v>209</v>
      </c>
      <c r="F3" s="7" t="s">
        <v>74</v>
      </c>
      <c r="G3" s="7" t="s">
        <v>77</v>
      </c>
      <c r="H3" s="7" t="s">
        <v>117</v>
      </c>
      <c r="I3" s="7" t="s">
        <v>81</v>
      </c>
      <c r="J3" s="7" t="s">
        <v>125</v>
      </c>
      <c r="K3" s="7" t="s">
        <v>160</v>
      </c>
      <c r="L3" s="19">
        <v>35763</v>
      </c>
      <c r="M3" s="19">
        <v>39965</v>
      </c>
      <c r="N3" s="8" t="s">
        <v>195</v>
      </c>
      <c r="O3" s="7">
        <v>1990</v>
      </c>
      <c r="P3" s="8"/>
      <c r="Q3" s="7"/>
      <c r="R3" s="7" t="s">
        <v>201</v>
      </c>
      <c r="S3" s="7" t="s">
        <v>203</v>
      </c>
      <c r="T3" s="19">
        <v>44377</v>
      </c>
      <c r="U3" s="9">
        <f>YEARFRAC(N3,T3)</f>
        <v>31.383333333333333</v>
      </c>
      <c r="V3" s="9">
        <f>U3+1</f>
        <v>32.383333333333333</v>
      </c>
      <c r="W3" s="2" t="s">
        <v>203</v>
      </c>
    </row>
    <row r="4" spans="1:23" s="1" customFormat="1" ht="12.75" x14ac:dyDescent="0.25">
      <c r="A4" s="7">
        <v>2</v>
      </c>
      <c r="B4" s="11" t="s">
        <v>24</v>
      </c>
      <c r="C4" s="7" t="s">
        <v>69</v>
      </c>
      <c r="D4" s="24">
        <v>23942</v>
      </c>
      <c r="E4" s="7" t="s">
        <v>210</v>
      </c>
      <c r="F4" s="7" t="s">
        <v>74</v>
      </c>
      <c r="G4" s="7" t="s">
        <v>77</v>
      </c>
      <c r="H4" s="7" t="s">
        <v>117</v>
      </c>
      <c r="I4" s="7" t="s">
        <v>82</v>
      </c>
      <c r="J4" s="7" t="s">
        <v>126</v>
      </c>
      <c r="K4" s="7" t="s">
        <v>161</v>
      </c>
      <c r="L4" s="19">
        <v>39046</v>
      </c>
      <c r="M4" s="19">
        <v>41821</v>
      </c>
      <c r="N4" s="8">
        <v>35101</v>
      </c>
      <c r="O4" s="7">
        <v>1996</v>
      </c>
      <c r="P4" s="8"/>
      <c r="Q4" s="7"/>
      <c r="R4" s="7" t="s">
        <v>201</v>
      </c>
      <c r="S4" s="7" t="s">
        <v>203</v>
      </c>
      <c r="T4" s="19">
        <v>44377</v>
      </c>
      <c r="U4" s="9">
        <f t="shared" ref="U4:U39" si="0">YEARFRAC(N4,T4)</f>
        <v>25.4</v>
      </c>
      <c r="V4" s="9">
        <f>29.3333333333333+1</f>
        <v>30.3333333333333</v>
      </c>
      <c r="W4" s="2" t="s">
        <v>203</v>
      </c>
    </row>
    <row r="5" spans="1:23" s="1" customFormat="1" ht="12.75" x14ac:dyDescent="0.25">
      <c r="A5" s="7">
        <v>3</v>
      </c>
      <c r="B5" s="11" t="s">
        <v>25</v>
      </c>
      <c r="C5" s="7" t="s">
        <v>69</v>
      </c>
      <c r="D5" s="24">
        <v>21373</v>
      </c>
      <c r="E5" s="7" t="s">
        <v>211</v>
      </c>
      <c r="F5" s="7" t="s">
        <v>74</v>
      </c>
      <c r="G5" s="7" t="s">
        <v>78</v>
      </c>
      <c r="H5" s="7" t="s">
        <v>117</v>
      </c>
      <c r="I5" s="7" t="s">
        <v>83</v>
      </c>
      <c r="J5" s="7" t="s">
        <v>127</v>
      </c>
      <c r="K5" s="7" t="s">
        <v>162</v>
      </c>
      <c r="L5" s="19">
        <v>1986</v>
      </c>
      <c r="M5" s="19">
        <v>41122</v>
      </c>
      <c r="N5" s="8">
        <v>35063</v>
      </c>
      <c r="O5" s="7">
        <v>1995</v>
      </c>
      <c r="P5" s="8"/>
      <c r="Q5" s="7"/>
      <c r="R5" s="7" t="s">
        <v>201</v>
      </c>
      <c r="S5" s="7" t="s">
        <v>203</v>
      </c>
      <c r="T5" s="19">
        <v>44377</v>
      </c>
      <c r="U5" s="9">
        <f>YEARFRAC(N5,T5)</f>
        <v>25.5</v>
      </c>
      <c r="V5" s="9">
        <f>35.7333333333333+1</f>
        <v>36.733333333333299</v>
      </c>
      <c r="W5" s="2" t="s">
        <v>203</v>
      </c>
    </row>
    <row r="6" spans="1:23" s="1" customFormat="1" ht="12.75" x14ac:dyDescent="0.25">
      <c r="A6" s="7">
        <v>4</v>
      </c>
      <c r="B6" s="11" t="s">
        <v>26</v>
      </c>
      <c r="C6" s="7" t="s">
        <v>69</v>
      </c>
      <c r="D6" s="24">
        <v>23265</v>
      </c>
      <c r="E6" s="7" t="s">
        <v>212</v>
      </c>
      <c r="F6" s="7" t="s">
        <v>75</v>
      </c>
      <c r="G6" s="7" t="s">
        <v>77</v>
      </c>
      <c r="H6" s="7" t="s">
        <v>117</v>
      </c>
      <c r="I6" s="7" t="s">
        <v>82</v>
      </c>
      <c r="J6" s="7" t="s">
        <v>128</v>
      </c>
      <c r="K6" s="7" t="s">
        <v>164</v>
      </c>
      <c r="L6" s="19">
        <v>41363</v>
      </c>
      <c r="M6" s="19">
        <v>42846</v>
      </c>
      <c r="N6" s="8">
        <v>35704</v>
      </c>
      <c r="O6" s="7">
        <v>1997</v>
      </c>
      <c r="P6" s="8"/>
      <c r="Q6" s="7"/>
      <c r="R6" s="7" t="s">
        <v>201</v>
      </c>
      <c r="S6" s="7" t="s">
        <v>203</v>
      </c>
      <c r="T6" s="19">
        <v>44377</v>
      </c>
      <c r="U6" s="9">
        <f t="shared" si="0"/>
        <v>23.747222222222224</v>
      </c>
      <c r="V6" s="9">
        <f>34+1</f>
        <v>35</v>
      </c>
      <c r="W6" s="2" t="s">
        <v>203</v>
      </c>
    </row>
    <row r="7" spans="1:23" s="1" customFormat="1" ht="12.75" x14ac:dyDescent="0.25">
      <c r="A7" s="7">
        <v>5</v>
      </c>
      <c r="B7" s="11" t="s">
        <v>27</v>
      </c>
      <c r="C7" s="7" t="s">
        <v>69</v>
      </c>
      <c r="D7" s="24">
        <v>23265</v>
      </c>
      <c r="E7" s="7" t="s">
        <v>213</v>
      </c>
      <c r="F7" s="7" t="s">
        <v>74</v>
      </c>
      <c r="G7" s="7" t="s">
        <v>77</v>
      </c>
      <c r="H7" s="7" t="s">
        <v>117</v>
      </c>
      <c r="I7" s="7" t="s">
        <v>84</v>
      </c>
      <c r="J7" s="7" t="s">
        <v>129</v>
      </c>
      <c r="K7" s="7" t="s">
        <v>165</v>
      </c>
      <c r="L7" s="19">
        <v>34095</v>
      </c>
      <c r="M7" s="19">
        <v>39264</v>
      </c>
      <c r="N7" s="8">
        <v>35062</v>
      </c>
      <c r="O7" s="7">
        <v>1995</v>
      </c>
      <c r="P7" s="8"/>
      <c r="Q7" s="7"/>
      <c r="R7" s="7" t="s">
        <v>201</v>
      </c>
      <c r="S7" s="7" t="s">
        <v>203</v>
      </c>
      <c r="T7" s="19">
        <v>44377</v>
      </c>
      <c r="U7" s="9">
        <f t="shared" si="0"/>
        <v>25.502777777777776</v>
      </c>
      <c r="V7" s="9">
        <f>26.1666666666667+1</f>
        <v>27.1666666666667</v>
      </c>
      <c r="W7" s="2" t="s">
        <v>203</v>
      </c>
    </row>
    <row r="8" spans="1:23" s="1" customFormat="1" ht="12.75" x14ac:dyDescent="0.25">
      <c r="A8" s="7">
        <v>6</v>
      </c>
      <c r="B8" s="11" t="s">
        <v>30</v>
      </c>
      <c r="C8" s="7" t="s">
        <v>70</v>
      </c>
      <c r="D8" s="24">
        <v>20306</v>
      </c>
      <c r="E8" s="7" t="s">
        <v>216</v>
      </c>
      <c r="F8" s="7" t="s">
        <v>74</v>
      </c>
      <c r="G8" s="7" t="s">
        <v>78</v>
      </c>
      <c r="H8" s="7" t="s">
        <v>117</v>
      </c>
      <c r="I8" s="7" t="s">
        <v>88</v>
      </c>
      <c r="J8" s="7" t="s">
        <v>132</v>
      </c>
      <c r="K8" s="7" t="s">
        <v>169</v>
      </c>
      <c r="L8" s="19">
        <v>42386</v>
      </c>
      <c r="M8" s="7"/>
      <c r="N8" s="8">
        <v>43893</v>
      </c>
      <c r="O8" s="7">
        <v>2020</v>
      </c>
      <c r="P8" s="8">
        <v>44323</v>
      </c>
      <c r="Q8" s="7">
        <v>2021</v>
      </c>
      <c r="R8" s="7" t="s">
        <v>200</v>
      </c>
      <c r="S8" s="7" t="s">
        <v>203</v>
      </c>
      <c r="T8" s="8">
        <v>44323</v>
      </c>
      <c r="U8" s="9">
        <f>YEARFRAC(N8,T8)</f>
        <v>1.1777777777777778</v>
      </c>
      <c r="V8" s="9">
        <f>30+1.1</f>
        <v>31.1</v>
      </c>
      <c r="W8" s="2" t="s">
        <v>204</v>
      </c>
    </row>
    <row r="9" spans="1:23" s="1" customFormat="1" ht="12.75" x14ac:dyDescent="0.25">
      <c r="A9" s="7">
        <v>7</v>
      </c>
      <c r="B9" s="11" t="s">
        <v>31</v>
      </c>
      <c r="C9" s="7" t="s">
        <v>71</v>
      </c>
      <c r="D9" s="24">
        <v>26466</v>
      </c>
      <c r="E9" s="7" t="s">
        <v>243</v>
      </c>
      <c r="F9" s="7" t="s">
        <v>74</v>
      </c>
      <c r="G9" s="7" t="s">
        <v>77</v>
      </c>
      <c r="H9" s="7" t="s">
        <v>117</v>
      </c>
      <c r="I9" s="7" t="s">
        <v>89</v>
      </c>
      <c r="J9" s="7" t="s">
        <v>133</v>
      </c>
      <c r="K9" s="7" t="s">
        <v>170</v>
      </c>
      <c r="L9" s="19">
        <v>37297</v>
      </c>
      <c r="M9" s="7"/>
      <c r="N9" s="8">
        <v>43943</v>
      </c>
      <c r="O9" s="7">
        <v>2020</v>
      </c>
      <c r="P9" s="8"/>
      <c r="Q9" s="7"/>
      <c r="R9" s="7" t="s">
        <v>201</v>
      </c>
      <c r="S9" s="7" t="s">
        <v>203</v>
      </c>
      <c r="T9" s="19">
        <v>44377</v>
      </c>
      <c r="U9" s="9">
        <f t="shared" si="0"/>
        <v>1.1888888888888889</v>
      </c>
      <c r="V9" s="9">
        <f>33+1</f>
        <v>34</v>
      </c>
      <c r="W9" s="2" t="s">
        <v>203</v>
      </c>
    </row>
    <row r="10" spans="1:23" s="1" customFormat="1" ht="12.75" x14ac:dyDescent="0.25">
      <c r="A10" s="7">
        <v>8</v>
      </c>
      <c r="B10" s="11" t="s">
        <v>258</v>
      </c>
      <c r="C10" s="7" t="s">
        <v>69</v>
      </c>
      <c r="D10" s="24">
        <v>22906</v>
      </c>
      <c r="E10" s="7" t="s">
        <v>259</v>
      </c>
      <c r="F10" s="7" t="s">
        <v>74</v>
      </c>
      <c r="G10" s="7" t="s">
        <v>77</v>
      </c>
      <c r="H10" s="7" t="s">
        <v>328</v>
      </c>
      <c r="I10" s="7" t="s">
        <v>327</v>
      </c>
      <c r="J10" s="7" t="s">
        <v>261</v>
      </c>
      <c r="K10" s="7" t="s">
        <v>163</v>
      </c>
      <c r="L10" s="19">
        <v>35056</v>
      </c>
      <c r="M10" s="7"/>
      <c r="N10" s="8" t="s">
        <v>262</v>
      </c>
      <c r="O10" s="7">
        <v>2021</v>
      </c>
      <c r="P10" s="8"/>
      <c r="Q10" s="7"/>
      <c r="R10" s="7" t="s">
        <v>200</v>
      </c>
      <c r="S10" s="7" t="s">
        <v>203</v>
      </c>
      <c r="T10" s="19">
        <v>44377</v>
      </c>
      <c r="U10" s="9">
        <f t="shared" si="0"/>
        <v>0.45</v>
      </c>
      <c r="V10" s="9">
        <f>22.1+0.5</f>
        <v>22.6</v>
      </c>
      <c r="W10" s="2" t="s">
        <v>203</v>
      </c>
    </row>
    <row r="11" spans="1:23" s="1" customFormat="1" ht="12.75" x14ac:dyDescent="0.25">
      <c r="A11" s="7">
        <v>9</v>
      </c>
      <c r="B11" s="11" t="s">
        <v>253</v>
      </c>
      <c r="C11" s="7" t="s">
        <v>69</v>
      </c>
      <c r="D11" s="24">
        <v>26949</v>
      </c>
      <c r="E11" s="7" t="s">
        <v>254</v>
      </c>
      <c r="F11" s="7" t="s">
        <v>255</v>
      </c>
      <c r="G11" s="7" t="s">
        <v>77</v>
      </c>
      <c r="H11" s="7" t="s">
        <v>118</v>
      </c>
      <c r="I11" s="7" t="s">
        <v>256</v>
      </c>
      <c r="J11" s="7" t="s">
        <v>126</v>
      </c>
      <c r="K11" s="7" t="s">
        <v>166</v>
      </c>
      <c r="L11" s="19">
        <v>37681</v>
      </c>
      <c r="M11" s="7"/>
      <c r="N11" s="8" t="s">
        <v>257</v>
      </c>
      <c r="O11" s="7">
        <v>2021</v>
      </c>
      <c r="P11" s="8"/>
      <c r="Q11" s="7"/>
      <c r="R11" s="7" t="s">
        <v>201</v>
      </c>
      <c r="S11" s="7" t="s">
        <v>203</v>
      </c>
      <c r="T11" s="19">
        <v>44377</v>
      </c>
      <c r="U11" s="9">
        <f t="shared" si="0"/>
        <v>0.15277777777777779</v>
      </c>
      <c r="V11" s="9">
        <f>12.9+0.2</f>
        <v>13.1</v>
      </c>
      <c r="W11" s="2" t="s">
        <v>203</v>
      </c>
    </row>
    <row r="12" spans="1:23" s="1" customFormat="1" ht="12.75" x14ac:dyDescent="0.25">
      <c r="A12" s="7">
        <v>10</v>
      </c>
      <c r="B12" s="11" t="s">
        <v>32</v>
      </c>
      <c r="C12" s="7" t="s">
        <v>69</v>
      </c>
      <c r="D12" s="24">
        <v>26392</v>
      </c>
      <c r="E12" s="7" t="s">
        <v>241</v>
      </c>
      <c r="F12" s="7" t="s">
        <v>74</v>
      </c>
      <c r="G12" s="7" t="s">
        <v>78</v>
      </c>
      <c r="H12" s="7" t="s">
        <v>117</v>
      </c>
      <c r="I12" s="7" t="s">
        <v>83</v>
      </c>
      <c r="J12" s="7" t="s">
        <v>134</v>
      </c>
      <c r="K12" s="7" t="s">
        <v>171</v>
      </c>
      <c r="L12" s="19">
        <v>36522</v>
      </c>
      <c r="M12" s="8">
        <v>44287</v>
      </c>
      <c r="N12" s="8">
        <v>38474</v>
      </c>
      <c r="O12" s="7">
        <v>2005</v>
      </c>
      <c r="P12" s="8"/>
      <c r="Q12" s="7"/>
      <c r="R12" s="7" t="s">
        <v>201</v>
      </c>
      <c r="S12" s="7" t="s">
        <v>203</v>
      </c>
      <c r="T12" s="19">
        <v>44377</v>
      </c>
      <c r="U12" s="9">
        <f t="shared" si="0"/>
        <v>16.161111111111111</v>
      </c>
      <c r="V12" s="9">
        <f>21.1+1</f>
        <v>22.1</v>
      </c>
      <c r="W12" s="2" t="s">
        <v>203</v>
      </c>
    </row>
    <row r="13" spans="1:23" s="1" customFormat="1" ht="12.75" x14ac:dyDescent="0.25">
      <c r="A13" s="7">
        <v>11</v>
      </c>
      <c r="B13" s="11" t="s">
        <v>34</v>
      </c>
      <c r="C13" s="7" t="s">
        <v>69</v>
      </c>
      <c r="D13" s="24">
        <v>26257</v>
      </c>
      <c r="E13" s="7" t="s">
        <v>239</v>
      </c>
      <c r="F13" s="7" t="s">
        <v>74</v>
      </c>
      <c r="G13" s="7" t="s">
        <v>77</v>
      </c>
      <c r="H13" s="7" t="s">
        <v>117</v>
      </c>
      <c r="I13" s="7" t="s">
        <v>91</v>
      </c>
      <c r="J13" s="7" t="s">
        <v>134</v>
      </c>
      <c r="K13" s="7" t="s">
        <v>173</v>
      </c>
      <c r="L13" s="19">
        <v>40336</v>
      </c>
      <c r="M13" s="8">
        <v>44287</v>
      </c>
      <c r="N13" s="8">
        <v>35143</v>
      </c>
      <c r="O13" s="7">
        <v>1996</v>
      </c>
      <c r="P13" s="8"/>
      <c r="Q13" s="7"/>
      <c r="R13" s="7" t="s">
        <v>201</v>
      </c>
      <c r="S13" s="7" t="s">
        <v>203</v>
      </c>
      <c r="T13" s="19">
        <v>44377</v>
      </c>
      <c r="U13" s="9">
        <f t="shared" si="0"/>
        <v>25.280555555555555</v>
      </c>
      <c r="V13" s="9">
        <f>24+1</f>
        <v>25</v>
      </c>
      <c r="W13" s="2" t="s">
        <v>203</v>
      </c>
    </row>
    <row r="14" spans="1:23" s="1" customFormat="1" ht="12.75" x14ac:dyDescent="0.25">
      <c r="A14" s="7">
        <v>12</v>
      </c>
      <c r="B14" s="11" t="s">
        <v>33</v>
      </c>
      <c r="C14" s="7" t="s">
        <v>72</v>
      </c>
      <c r="D14" s="24">
        <v>23885</v>
      </c>
      <c r="E14" s="7" t="s">
        <v>240</v>
      </c>
      <c r="F14" s="7" t="s">
        <v>74</v>
      </c>
      <c r="G14" s="7" t="s">
        <v>77</v>
      </c>
      <c r="H14" s="7" t="s">
        <v>117</v>
      </c>
      <c r="I14" s="7" t="s">
        <v>90</v>
      </c>
      <c r="J14" s="7" t="s">
        <v>126</v>
      </c>
      <c r="K14" s="7" t="s">
        <v>172</v>
      </c>
      <c r="L14" s="19">
        <v>33797</v>
      </c>
      <c r="M14" s="8">
        <v>41275</v>
      </c>
      <c r="N14" s="8">
        <v>39235</v>
      </c>
      <c r="O14" s="7">
        <v>2007</v>
      </c>
      <c r="P14" s="8"/>
      <c r="Q14" s="7"/>
      <c r="R14" s="7" t="s">
        <v>201</v>
      </c>
      <c r="S14" s="7" t="s">
        <v>203</v>
      </c>
      <c r="T14" s="19">
        <v>44377</v>
      </c>
      <c r="U14" s="9">
        <f>YEARFRAC(N14,T14)</f>
        <v>14.077777777777778</v>
      </c>
      <c r="V14" s="9">
        <f>29+1</f>
        <v>30</v>
      </c>
      <c r="W14" s="2" t="s">
        <v>203</v>
      </c>
    </row>
    <row r="15" spans="1:23" s="1" customFormat="1" ht="12.75" x14ac:dyDescent="0.25">
      <c r="A15" s="7">
        <v>13</v>
      </c>
      <c r="B15" s="11" t="s">
        <v>35</v>
      </c>
      <c r="C15" s="7" t="s">
        <v>72</v>
      </c>
      <c r="D15" s="24">
        <v>26622</v>
      </c>
      <c r="E15" s="7" t="s">
        <v>238</v>
      </c>
      <c r="F15" s="7" t="s">
        <v>74</v>
      </c>
      <c r="G15" s="7" t="s">
        <v>78</v>
      </c>
      <c r="H15" s="7" t="s">
        <v>117</v>
      </c>
      <c r="I15" s="7" t="s">
        <v>92</v>
      </c>
      <c r="J15" s="7" t="s">
        <v>126</v>
      </c>
      <c r="K15" s="7" t="s">
        <v>174</v>
      </c>
      <c r="L15" s="19">
        <v>39629</v>
      </c>
      <c r="M15" s="19">
        <v>42005</v>
      </c>
      <c r="N15" s="8">
        <v>40026</v>
      </c>
      <c r="O15" s="7">
        <v>2009</v>
      </c>
      <c r="P15" s="8"/>
      <c r="Q15" s="7"/>
      <c r="R15" s="7" t="s">
        <v>201</v>
      </c>
      <c r="S15" s="7" t="s">
        <v>203</v>
      </c>
      <c r="T15" s="19">
        <v>44377</v>
      </c>
      <c r="U15" s="9">
        <f t="shared" si="0"/>
        <v>11.91388888888889</v>
      </c>
      <c r="V15" s="9">
        <f>20+1</f>
        <v>21</v>
      </c>
      <c r="W15" s="2" t="s">
        <v>203</v>
      </c>
    </row>
    <row r="16" spans="1:23" s="1" customFormat="1" ht="12.75" x14ac:dyDescent="0.25">
      <c r="A16" s="7">
        <v>14</v>
      </c>
      <c r="B16" s="11" t="s">
        <v>36</v>
      </c>
      <c r="C16" s="7" t="s">
        <v>72</v>
      </c>
      <c r="D16" s="25">
        <v>27104</v>
      </c>
      <c r="E16" s="7" t="s">
        <v>237</v>
      </c>
      <c r="F16" s="7" t="s">
        <v>74</v>
      </c>
      <c r="G16" s="7" t="s">
        <v>78</v>
      </c>
      <c r="H16" s="7" t="s">
        <v>117</v>
      </c>
      <c r="I16" s="7" t="s">
        <v>93</v>
      </c>
      <c r="J16" s="7" t="s">
        <v>135</v>
      </c>
      <c r="K16" s="7" t="s">
        <v>175</v>
      </c>
      <c r="L16" s="19">
        <v>40148</v>
      </c>
      <c r="M16" s="19">
        <v>41730</v>
      </c>
      <c r="N16" s="8">
        <v>40269</v>
      </c>
      <c r="O16" s="7">
        <v>2010</v>
      </c>
      <c r="P16" s="8"/>
      <c r="Q16" s="7"/>
      <c r="R16" s="7" t="s">
        <v>201</v>
      </c>
      <c r="S16" s="7" t="s">
        <v>204</v>
      </c>
      <c r="T16" s="19">
        <v>44377</v>
      </c>
      <c r="U16" s="9">
        <f t="shared" si="0"/>
        <v>11.247222222222222</v>
      </c>
      <c r="V16" s="9">
        <f>21.6666666666667+1</f>
        <v>22.6666666666667</v>
      </c>
      <c r="W16" s="2" t="s">
        <v>203</v>
      </c>
    </row>
    <row r="17" spans="1:23" s="1" customFormat="1" ht="12.75" x14ac:dyDescent="0.25">
      <c r="A17" s="7">
        <v>15</v>
      </c>
      <c r="B17" s="11" t="s">
        <v>38</v>
      </c>
      <c r="C17" s="7" t="s">
        <v>72</v>
      </c>
      <c r="D17" s="24">
        <v>27271</v>
      </c>
      <c r="E17" s="7" t="s">
        <v>235</v>
      </c>
      <c r="F17" s="7" t="s">
        <v>74</v>
      </c>
      <c r="G17" s="7" t="s">
        <v>77</v>
      </c>
      <c r="H17" s="7" t="s">
        <v>117</v>
      </c>
      <c r="I17" s="7" t="s">
        <v>95</v>
      </c>
      <c r="J17" s="7" t="s">
        <v>126</v>
      </c>
      <c r="K17" s="7" t="s">
        <v>172</v>
      </c>
      <c r="L17" s="19">
        <v>40575</v>
      </c>
      <c r="M17" s="19">
        <v>43191</v>
      </c>
      <c r="N17" s="8">
        <v>40634</v>
      </c>
      <c r="O17" s="7">
        <v>2011</v>
      </c>
      <c r="P17" s="8"/>
      <c r="Q17" s="7"/>
      <c r="R17" s="7" t="s">
        <v>201</v>
      </c>
      <c r="S17" s="7" t="s">
        <v>203</v>
      </c>
      <c r="T17" s="19">
        <v>44377</v>
      </c>
      <c r="U17" s="9">
        <f t="shared" si="0"/>
        <v>10.247222222222222</v>
      </c>
      <c r="V17" s="9">
        <f>19.6666666666667+1</f>
        <v>20.6666666666667</v>
      </c>
      <c r="W17" s="2" t="s">
        <v>203</v>
      </c>
    </row>
    <row r="18" spans="1:23" s="1" customFormat="1" ht="12.75" x14ac:dyDescent="0.25">
      <c r="A18" s="7">
        <v>16</v>
      </c>
      <c r="B18" s="11" t="s">
        <v>39</v>
      </c>
      <c r="C18" s="7" t="s">
        <v>72</v>
      </c>
      <c r="D18" s="24">
        <v>23599</v>
      </c>
      <c r="E18" s="7" t="s">
        <v>252</v>
      </c>
      <c r="F18" s="7" t="s">
        <v>76</v>
      </c>
      <c r="G18" s="7" t="s">
        <v>77</v>
      </c>
      <c r="H18" s="7" t="s">
        <v>117</v>
      </c>
      <c r="I18" s="7" t="s">
        <v>94</v>
      </c>
      <c r="J18" s="7" t="s">
        <v>126</v>
      </c>
      <c r="K18" s="7" t="s">
        <v>176</v>
      </c>
      <c r="L18" s="19">
        <v>40887</v>
      </c>
      <c r="M18" s="19"/>
      <c r="N18" s="8">
        <v>41122</v>
      </c>
      <c r="O18" s="7">
        <v>2012</v>
      </c>
      <c r="P18" s="8"/>
      <c r="Q18" s="7"/>
      <c r="R18" s="7" t="s">
        <v>201</v>
      </c>
      <c r="S18" s="7" t="s">
        <v>203</v>
      </c>
      <c r="T18" s="19">
        <v>44377</v>
      </c>
      <c r="U18" s="9">
        <f t="shared" si="0"/>
        <v>8.9138888888888896</v>
      </c>
      <c r="V18" s="9">
        <f>32.6183333333333+1</f>
        <v>33.618333333333297</v>
      </c>
      <c r="W18" s="2" t="s">
        <v>203</v>
      </c>
    </row>
    <row r="19" spans="1:23" s="1" customFormat="1" ht="12.75" x14ac:dyDescent="0.25">
      <c r="A19" s="7">
        <v>17</v>
      </c>
      <c r="B19" s="11" t="s">
        <v>40</v>
      </c>
      <c r="C19" s="7" t="s">
        <v>72</v>
      </c>
      <c r="D19" s="24">
        <v>28230</v>
      </c>
      <c r="E19" s="7" t="s">
        <v>248</v>
      </c>
      <c r="F19" s="7" t="s">
        <v>76</v>
      </c>
      <c r="G19" s="7" t="s">
        <v>77</v>
      </c>
      <c r="H19" s="7" t="s">
        <v>117</v>
      </c>
      <c r="I19" s="7" t="s">
        <v>96</v>
      </c>
      <c r="J19" s="7" t="s">
        <v>136</v>
      </c>
      <c r="K19" s="7" t="s">
        <v>177</v>
      </c>
      <c r="L19" s="19">
        <v>41097</v>
      </c>
      <c r="M19" s="19">
        <v>43132</v>
      </c>
      <c r="N19" s="8">
        <v>41676</v>
      </c>
      <c r="O19" s="7">
        <v>2014</v>
      </c>
      <c r="P19" s="8"/>
      <c r="Q19" s="7"/>
      <c r="R19" s="7" t="s">
        <v>201</v>
      </c>
      <c r="S19" s="7" t="s">
        <v>204</v>
      </c>
      <c r="T19" s="19">
        <v>44377</v>
      </c>
      <c r="U19" s="9">
        <f t="shared" si="0"/>
        <v>7.4</v>
      </c>
      <c r="V19" s="9">
        <f>16.5+1</f>
        <v>17.5</v>
      </c>
      <c r="W19" s="2" t="s">
        <v>203</v>
      </c>
    </row>
    <row r="20" spans="1:23" s="1" customFormat="1" ht="12.75" x14ac:dyDescent="0.25">
      <c r="A20" s="7">
        <v>18</v>
      </c>
      <c r="B20" s="11" t="s">
        <v>41</v>
      </c>
      <c r="C20" s="7" t="s">
        <v>72</v>
      </c>
      <c r="D20" s="24">
        <v>26721</v>
      </c>
      <c r="E20" s="7" t="s">
        <v>234</v>
      </c>
      <c r="F20" s="7" t="s">
        <v>74</v>
      </c>
      <c r="G20" s="7" t="s">
        <v>77</v>
      </c>
      <c r="H20" s="7" t="s">
        <v>117</v>
      </c>
      <c r="I20" s="7" t="s">
        <v>97</v>
      </c>
      <c r="J20" s="7" t="s">
        <v>137</v>
      </c>
      <c r="K20" s="7" t="s">
        <v>178</v>
      </c>
      <c r="L20" s="19">
        <v>41843</v>
      </c>
      <c r="M20" s="7"/>
      <c r="N20" s="8">
        <v>42408</v>
      </c>
      <c r="O20" s="7">
        <v>2016</v>
      </c>
      <c r="P20" s="8"/>
      <c r="Q20" s="7"/>
      <c r="R20" s="7" t="s">
        <v>201</v>
      </c>
      <c r="S20" s="7" t="s">
        <v>203</v>
      </c>
      <c r="T20" s="19">
        <v>44377</v>
      </c>
      <c r="U20" s="9">
        <f t="shared" si="0"/>
        <v>5.3944444444444448</v>
      </c>
      <c r="V20" s="9">
        <f>18.75+1</f>
        <v>19.75</v>
      </c>
      <c r="W20" s="2" t="s">
        <v>203</v>
      </c>
    </row>
    <row r="21" spans="1:23" s="1" customFormat="1" ht="12.75" x14ac:dyDescent="0.25">
      <c r="A21" s="7">
        <v>19</v>
      </c>
      <c r="B21" s="11" t="s">
        <v>42</v>
      </c>
      <c r="C21" s="7" t="s">
        <v>72</v>
      </c>
      <c r="D21" s="24">
        <v>27629</v>
      </c>
      <c r="E21" s="7" t="s">
        <v>247</v>
      </c>
      <c r="F21" s="7" t="s">
        <v>76</v>
      </c>
      <c r="G21" s="7" t="s">
        <v>77</v>
      </c>
      <c r="H21" s="7" t="s">
        <v>117</v>
      </c>
      <c r="I21" s="7" t="s">
        <v>96</v>
      </c>
      <c r="J21" s="7" t="s">
        <v>138</v>
      </c>
      <c r="K21" s="7" t="s">
        <v>177</v>
      </c>
      <c r="L21" s="19">
        <v>40733</v>
      </c>
      <c r="M21" s="7"/>
      <c r="N21" s="8">
        <v>42522</v>
      </c>
      <c r="O21" s="7">
        <v>2016</v>
      </c>
      <c r="P21" s="19"/>
      <c r="Q21" s="7"/>
      <c r="R21" s="7" t="s">
        <v>201</v>
      </c>
      <c r="S21" s="7" t="s">
        <v>203</v>
      </c>
      <c r="T21" s="19">
        <v>44377</v>
      </c>
      <c r="U21" s="9">
        <f t="shared" si="0"/>
        <v>5.0805555555555557</v>
      </c>
      <c r="V21" s="9">
        <f>16.9166666666667+1</f>
        <v>17.9166666666667</v>
      </c>
      <c r="W21" s="2" t="s">
        <v>203</v>
      </c>
    </row>
    <row r="22" spans="1:23" s="1" customFormat="1" ht="12.75" x14ac:dyDescent="0.25">
      <c r="A22" s="7">
        <v>20</v>
      </c>
      <c r="B22" s="11" t="s">
        <v>44</v>
      </c>
      <c r="C22" s="7" t="s">
        <v>72</v>
      </c>
      <c r="D22" s="28">
        <v>25248</v>
      </c>
      <c r="E22" s="7" t="s">
        <v>231</v>
      </c>
      <c r="F22" s="7" t="s">
        <v>75</v>
      </c>
      <c r="G22" s="7" t="s">
        <v>77</v>
      </c>
      <c r="H22" s="7" t="s">
        <v>119</v>
      </c>
      <c r="I22" s="7" t="s">
        <v>98</v>
      </c>
      <c r="J22" s="7" t="s">
        <v>140</v>
      </c>
      <c r="K22" s="7" t="s">
        <v>180</v>
      </c>
      <c r="L22" s="19">
        <v>1994</v>
      </c>
      <c r="M22" s="7"/>
      <c r="N22" s="8">
        <v>43117</v>
      </c>
      <c r="O22" s="7">
        <v>2018</v>
      </c>
      <c r="P22" s="19"/>
      <c r="Q22" s="7"/>
      <c r="R22" s="7" t="s">
        <v>201</v>
      </c>
      <c r="S22" s="7" t="s">
        <v>203</v>
      </c>
      <c r="T22" s="19">
        <v>44377</v>
      </c>
      <c r="U22" s="9">
        <f t="shared" si="0"/>
        <v>3.4527777777777779</v>
      </c>
      <c r="V22" s="9">
        <f>20.4166666666667+1</f>
        <v>21.4166666666667</v>
      </c>
      <c r="W22" s="2" t="s">
        <v>203</v>
      </c>
    </row>
    <row r="23" spans="1:23" s="1" customFormat="1" ht="12.75" x14ac:dyDescent="0.25">
      <c r="A23" s="7">
        <v>21</v>
      </c>
      <c r="B23" s="11" t="s">
        <v>45</v>
      </c>
      <c r="C23" s="7" t="s">
        <v>72</v>
      </c>
      <c r="D23" s="25">
        <v>28771</v>
      </c>
      <c r="E23" s="7" t="s">
        <v>232</v>
      </c>
      <c r="F23" s="7" t="s">
        <v>74</v>
      </c>
      <c r="G23" s="7" t="s">
        <v>77</v>
      </c>
      <c r="H23" s="7" t="s">
        <v>120</v>
      </c>
      <c r="I23" s="7" t="s">
        <v>99</v>
      </c>
      <c r="J23" s="7" t="s">
        <v>129</v>
      </c>
      <c r="K23" s="7" t="s">
        <v>165</v>
      </c>
      <c r="L23" s="19">
        <v>39944</v>
      </c>
      <c r="M23" s="7"/>
      <c r="N23" s="8" t="s">
        <v>196</v>
      </c>
      <c r="O23" s="7">
        <v>2019</v>
      </c>
      <c r="P23" s="19"/>
      <c r="Q23" s="7"/>
      <c r="R23" s="7" t="s">
        <v>201</v>
      </c>
      <c r="S23" s="7" t="s">
        <v>203</v>
      </c>
      <c r="T23" s="19">
        <v>44377</v>
      </c>
      <c r="U23" s="9">
        <f t="shared" si="0"/>
        <v>2.2277777777777779</v>
      </c>
      <c r="V23" s="9">
        <f>12.5+1</f>
        <v>13.5</v>
      </c>
      <c r="W23" s="2" t="s">
        <v>203</v>
      </c>
    </row>
    <row r="24" spans="1:23" s="1" customFormat="1" ht="12.75" x14ac:dyDescent="0.25">
      <c r="A24" s="7">
        <v>22</v>
      </c>
      <c r="B24" s="11" t="s">
        <v>47</v>
      </c>
      <c r="C24" s="7" t="s">
        <v>72</v>
      </c>
      <c r="D24" s="24">
        <v>30134</v>
      </c>
      <c r="E24" s="7" t="s">
        <v>219</v>
      </c>
      <c r="F24" s="7" t="s">
        <v>74</v>
      </c>
      <c r="G24" s="7" t="s">
        <v>78</v>
      </c>
      <c r="H24" s="7" t="s">
        <v>120</v>
      </c>
      <c r="I24" s="7" t="s">
        <v>101</v>
      </c>
      <c r="J24" s="7" t="s">
        <v>125</v>
      </c>
      <c r="K24" s="7" t="s">
        <v>182</v>
      </c>
      <c r="L24" s="19">
        <v>39356</v>
      </c>
      <c r="M24" s="7"/>
      <c r="N24" s="8">
        <v>43872</v>
      </c>
      <c r="O24" s="7">
        <v>2020</v>
      </c>
      <c r="P24" s="8"/>
      <c r="Q24" s="7"/>
      <c r="R24" s="7" t="s">
        <v>201</v>
      </c>
      <c r="S24" s="7" t="s">
        <v>203</v>
      </c>
      <c r="T24" s="19">
        <v>44377</v>
      </c>
      <c r="U24" s="9">
        <f t="shared" si="0"/>
        <v>1.3861111111111111</v>
      </c>
      <c r="V24" s="9">
        <f>15.6+0.5</f>
        <v>16.100000000000001</v>
      </c>
      <c r="W24" s="2" t="s">
        <v>203</v>
      </c>
    </row>
    <row r="25" spans="1:23" s="1" customFormat="1" ht="12.75" x14ac:dyDescent="0.25">
      <c r="A25" s="7">
        <v>23</v>
      </c>
      <c r="B25" s="11" t="s">
        <v>48</v>
      </c>
      <c r="C25" s="7" t="s">
        <v>72</v>
      </c>
      <c r="D25" s="25">
        <v>29953</v>
      </c>
      <c r="E25" s="7" t="s">
        <v>217</v>
      </c>
      <c r="F25" s="7" t="s">
        <v>74</v>
      </c>
      <c r="G25" s="7" t="s">
        <v>78</v>
      </c>
      <c r="H25" s="7" t="s">
        <v>120</v>
      </c>
      <c r="I25" s="7" t="s">
        <v>102</v>
      </c>
      <c r="J25" s="7" t="s">
        <v>126</v>
      </c>
      <c r="K25" s="7" t="s">
        <v>183</v>
      </c>
      <c r="L25" s="19">
        <v>42464</v>
      </c>
      <c r="M25" s="7"/>
      <c r="N25" s="8">
        <v>43901</v>
      </c>
      <c r="O25" s="7">
        <v>2020</v>
      </c>
      <c r="P25" s="8"/>
      <c r="Q25" s="7"/>
      <c r="R25" s="7" t="s">
        <v>201</v>
      </c>
      <c r="S25" s="7" t="s">
        <v>203</v>
      </c>
      <c r="T25" s="19">
        <v>44377</v>
      </c>
      <c r="U25" s="9">
        <f t="shared" si="0"/>
        <v>1.3027777777777778</v>
      </c>
      <c r="V25" s="9">
        <f>13.7333333333333+0.5</f>
        <v>14.233333333333301</v>
      </c>
      <c r="W25" s="2" t="s">
        <v>203</v>
      </c>
    </row>
    <row r="26" spans="1:23" s="1" customFormat="1" ht="12.75" x14ac:dyDescent="0.25">
      <c r="A26" s="7">
        <v>24</v>
      </c>
      <c r="B26" s="11" t="s">
        <v>49</v>
      </c>
      <c r="C26" s="7" t="s">
        <v>72</v>
      </c>
      <c r="D26" s="24">
        <v>32769</v>
      </c>
      <c r="E26" s="7" t="s">
        <v>242</v>
      </c>
      <c r="F26" s="7" t="s">
        <v>74</v>
      </c>
      <c r="G26" s="7" t="s">
        <v>77</v>
      </c>
      <c r="H26" s="7" t="s">
        <v>121</v>
      </c>
      <c r="I26" s="7" t="s">
        <v>103</v>
      </c>
      <c r="J26" s="7" t="s">
        <v>142</v>
      </c>
      <c r="K26" s="7" t="s">
        <v>158</v>
      </c>
      <c r="L26" s="19">
        <v>42020</v>
      </c>
      <c r="M26" s="7"/>
      <c r="N26" s="8">
        <v>43922</v>
      </c>
      <c r="O26" s="7">
        <v>2020</v>
      </c>
      <c r="P26" s="8"/>
      <c r="Q26" s="7"/>
      <c r="R26" s="7" t="s">
        <v>201</v>
      </c>
      <c r="S26" s="7" t="s">
        <v>203</v>
      </c>
      <c r="T26" s="19">
        <v>44377</v>
      </c>
      <c r="U26" s="9">
        <f t="shared" si="0"/>
        <v>1.2472222222222222</v>
      </c>
      <c r="V26" s="9">
        <f>9.9+0.3</f>
        <v>10.200000000000001</v>
      </c>
      <c r="W26" s="2" t="s">
        <v>203</v>
      </c>
    </row>
    <row r="27" spans="1:23" s="1" customFormat="1" ht="12.75" x14ac:dyDescent="0.25">
      <c r="A27" s="7">
        <v>25</v>
      </c>
      <c r="B27" s="11" t="s">
        <v>50</v>
      </c>
      <c r="C27" s="7" t="s">
        <v>73</v>
      </c>
      <c r="D27" s="24">
        <v>23632</v>
      </c>
      <c r="E27" s="7" t="s">
        <v>244</v>
      </c>
      <c r="F27" s="7" t="s">
        <v>74</v>
      </c>
      <c r="G27" s="7" t="s">
        <v>78</v>
      </c>
      <c r="H27" s="7" t="s">
        <v>119</v>
      </c>
      <c r="I27" s="7" t="s">
        <v>104</v>
      </c>
      <c r="J27" s="7" t="s">
        <v>143</v>
      </c>
      <c r="K27" s="7" t="s">
        <v>184</v>
      </c>
      <c r="L27" s="19">
        <v>32963</v>
      </c>
      <c r="M27" s="7"/>
      <c r="N27" s="8">
        <v>32945</v>
      </c>
      <c r="O27" s="7">
        <v>1990</v>
      </c>
      <c r="P27" s="8"/>
      <c r="Q27" s="7"/>
      <c r="R27" s="7" t="s">
        <v>201</v>
      </c>
      <c r="S27" s="7" t="s">
        <v>203</v>
      </c>
      <c r="T27" s="19">
        <v>44377</v>
      </c>
      <c r="U27" s="9">
        <f t="shared" si="0"/>
        <v>31.297222222222221</v>
      </c>
      <c r="V27" s="9">
        <f>30.8+1</f>
        <v>31.8</v>
      </c>
      <c r="W27" s="2" t="s">
        <v>203</v>
      </c>
    </row>
    <row r="28" spans="1:23" s="1" customFormat="1" ht="12.75" x14ac:dyDescent="0.25">
      <c r="A28" s="7">
        <v>26</v>
      </c>
      <c r="B28" s="11" t="s">
        <v>52</v>
      </c>
      <c r="C28" s="7" t="s">
        <v>73</v>
      </c>
      <c r="D28" s="24">
        <v>26820</v>
      </c>
      <c r="E28" s="7" t="s">
        <v>245</v>
      </c>
      <c r="F28" s="7" t="s">
        <v>75</v>
      </c>
      <c r="G28" s="7" t="s">
        <v>77</v>
      </c>
      <c r="H28" s="7" t="s">
        <v>117</v>
      </c>
      <c r="I28" s="7" t="s">
        <v>105</v>
      </c>
      <c r="J28" s="7" t="s">
        <v>145</v>
      </c>
      <c r="K28" s="7" t="s">
        <v>186</v>
      </c>
      <c r="L28" s="19">
        <v>44410</v>
      </c>
      <c r="M28" s="19">
        <v>43076</v>
      </c>
      <c r="N28" s="8">
        <v>38957</v>
      </c>
      <c r="O28" s="7">
        <v>2006</v>
      </c>
      <c r="P28" s="8"/>
      <c r="Q28" s="7"/>
      <c r="R28" s="7" t="s">
        <v>201</v>
      </c>
      <c r="S28" s="7" t="s">
        <v>203</v>
      </c>
      <c r="T28" s="19">
        <v>44377</v>
      </c>
      <c r="U28" s="9">
        <f t="shared" si="0"/>
        <v>14.838888888888889</v>
      </c>
      <c r="V28" s="9">
        <f>18.6666666666667+1</f>
        <v>19.6666666666667</v>
      </c>
      <c r="W28" s="2" t="s">
        <v>203</v>
      </c>
    </row>
    <row r="29" spans="1:23" s="1" customFormat="1" ht="12.75" x14ac:dyDescent="0.25">
      <c r="A29" s="7">
        <v>27</v>
      </c>
      <c r="B29" s="11" t="s">
        <v>53</v>
      </c>
      <c r="C29" s="7" t="s">
        <v>73</v>
      </c>
      <c r="D29" s="24">
        <v>22630</v>
      </c>
      <c r="E29" s="7" t="s">
        <v>246</v>
      </c>
      <c r="F29" s="7" t="s">
        <v>75</v>
      </c>
      <c r="G29" s="7" t="s">
        <v>77</v>
      </c>
      <c r="H29" s="7" t="s">
        <v>119</v>
      </c>
      <c r="I29" s="7" t="s">
        <v>106</v>
      </c>
      <c r="J29" s="7" t="s">
        <v>126</v>
      </c>
      <c r="K29" s="7" t="s">
        <v>161</v>
      </c>
      <c r="L29" s="19">
        <v>34333</v>
      </c>
      <c r="M29" s="7"/>
      <c r="N29" s="8">
        <v>36853</v>
      </c>
      <c r="O29" s="7">
        <v>2000</v>
      </c>
      <c r="P29" s="19"/>
      <c r="Q29" s="7"/>
      <c r="R29" s="7" t="s">
        <v>200</v>
      </c>
      <c r="S29" s="7" t="s">
        <v>203</v>
      </c>
      <c r="T29" s="19">
        <v>44377</v>
      </c>
      <c r="U29" s="9">
        <f t="shared" si="0"/>
        <v>20.602777777777778</v>
      </c>
      <c r="V29" s="9">
        <f>24.2666666666667+1</f>
        <v>25.266666666666701</v>
      </c>
      <c r="W29" s="2" t="s">
        <v>203</v>
      </c>
    </row>
    <row r="30" spans="1:23" s="1" customFormat="1" ht="12.75" x14ac:dyDescent="0.25">
      <c r="A30" s="7">
        <v>28</v>
      </c>
      <c r="B30" s="11" t="s">
        <v>54</v>
      </c>
      <c r="C30" s="7" t="s">
        <v>73</v>
      </c>
      <c r="D30" s="24">
        <v>28772</v>
      </c>
      <c r="E30" s="7" t="s">
        <v>249</v>
      </c>
      <c r="F30" s="7" t="s">
        <v>76</v>
      </c>
      <c r="G30" s="7" t="s">
        <v>77</v>
      </c>
      <c r="H30" s="7" t="s">
        <v>119</v>
      </c>
      <c r="I30" s="7" t="s">
        <v>107</v>
      </c>
      <c r="J30" s="7" t="s">
        <v>146</v>
      </c>
      <c r="K30" s="7" t="s">
        <v>187</v>
      </c>
      <c r="L30" s="19">
        <v>39255</v>
      </c>
      <c r="M30" s="7"/>
      <c r="N30" s="8" t="s">
        <v>197</v>
      </c>
      <c r="O30" s="7">
        <v>2012</v>
      </c>
      <c r="P30" s="8"/>
      <c r="Q30" s="7"/>
      <c r="R30" s="7" t="s">
        <v>201</v>
      </c>
      <c r="S30" s="7" t="s">
        <v>203</v>
      </c>
      <c r="T30" s="19">
        <v>44377</v>
      </c>
      <c r="U30" s="9">
        <f t="shared" si="0"/>
        <v>9.1083333333333325</v>
      </c>
      <c r="V30" s="9">
        <f>15.9166666666667+1</f>
        <v>16.9166666666667</v>
      </c>
      <c r="W30" s="2" t="s">
        <v>203</v>
      </c>
    </row>
    <row r="31" spans="1:23" s="1" customFormat="1" ht="12.75" x14ac:dyDescent="0.25">
      <c r="A31" s="7">
        <v>29</v>
      </c>
      <c r="B31" s="11" t="s">
        <v>55</v>
      </c>
      <c r="C31" s="7" t="s">
        <v>73</v>
      </c>
      <c r="D31" s="24">
        <v>23771</v>
      </c>
      <c r="E31" s="7" t="s">
        <v>230</v>
      </c>
      <c r="F31" s="7" t="s">
        <v>74</v>
      </c>
      <c r="G31" s="7" t="s">
        <v>77</v>
      </c>
      <c r="H31" s="7" t="s">
        <v>119</v>
      </c>
      <c r="I31" s="7" t="s">
        <v>108</v>
      </c>
      <c r="J31" s="7" t="s">
        <v>147</v>
      </c>
      <c r="K31" s="7" t="s">
        <v>188</v>
      </c>
      <c r="L31" s="19">
        <v>1993</v>
      </c>
      <c r="M31" s="7"/>
      <c r="N31" s="8">
        <v>38222</v>
      </c>
      <c r="O31" s="7">
        <v>2004</v>
      </c>
      <c r="P31" s="8"/>
      <c r="Q31" s="7"/>
      <c r="R31" s="7" t="s">
        <v>201</v>
      </c>
      <c r="S31" s="7" t="s">
        <v>203</v>
      </c>
      <c r="T31" s="19">
        <v>44377</v>
      </c>
      <c r="U31" s="9">
        <f t="shared" si="0"/>
        <v>16.852777777777778</v>
      </c>
      <c r="V31" s="9">
        <f>24.6666666666667+1</f>
        <v>25.6666666666667</v>
      </c>
      <c r="W31" s="2" t="s">
        <v>203</v>
      </c>
    </row>
    <row r="32" spans="1:23" s="1" customFormat="1" ht="12.75" x14ac:dyDescent="0.25">
      <c r="A32" s="7">
        <v>30</v>
      </c>
      <c r="B32" s="11" t="s">
        <v>56</v>
      </c>
      <c r="C32" s="7" t="s">
        <v>73</v>
      </c>
      <c r="D32" s="24">
        <v>30546</v>
      </c>
      <c r="E32" s="7" t="s">
        <v>229</v>
      </c>
      <c r="F32" s="7" t="s">
        <v>74</v>
      </c>
      <c r="G32" s="7" t="s">
        <v>78</v>
      </c>
      <c r="H32" s="7" t="s">
        <v>122</v>
      </c>
      <c r="I32" s="7" t="s">
        <v>109</v>
      </c>
      <c r="J32" s="7" t="s">
        <v>148</v>
      </c>
      <c r="K32" s="7" t="s">
        <v>189</v>
      </c>
      <c r="L32" s="19">
        <v>39227</v>
      </c>
      <c r="M32" s="7"/>
      <c r="N32" s="8">
        <v>40185</v>
      </c>
      <c r="O32" s="7">
        <v>2010</v>
      </c>
      <c r="P32" s="8"/>
      <c r="Q32" s="7"/>
      <c r="R32" s="7" t="s">
        <v>201</v>
      </c>
      <c r="S32" s="7" t="s">
        <v>203</v>
      </c>
      <c r="T32" s="19">
        <v>44377</v>
      </c>
      <c r="U32" s="9">
        <f t="shared" si="0"/>
        <v>11.480555555555556</v>
      </c>
      <c r="V32" s="9">
        <f>14.3+1</f>
        <v>15.3</v>
      </c>
      <c r="W32" s="2" t="s">
        <v>203</v>
      </c>
    </row>
    <row r="33" spans="1:23" s="1" customFormat="1" ht="12.75" x14ac:dyDescent="0.25">
      <c r="A33" s="7">
        <v>31</v>
      </c>
      <c r="B33" s="11" t="s">
        <v>57</v>
      </c>
      <c r="C33" s="7" t="s">
        <v>73</v>
      </c>
      <c r="D33" s="24">
        <v>29738</v>
      </c>
      <c r="E33" s="7" t="s">
        <v>228</v>
      </c>
      <c r="F33" s="7" t="s">
        <v>75</v>
      </c>
      <c r="G33" s="7" t="s">
        <v>78</v>
      </c>
      <c r="H33" s="7" t="s">
        <v>120</v>
      </c>
      <c r="I33" s="7" t="s">
        <v>110</v>
      </c>
      <c r="J33" s="7" t="s">
        <v>149</v>
      </c>
      <c r="K33" s="7" t="s">
        <v>190</v>
      </c>
      <c r="L33" s="19">
        <v>43734</v>
      </c>
      <c r="M33" s="7"/>
      <c r="N33" s="8" t="s">
        <v>198</v>
      </c>
      <c r="O33" s="7">
        <v>2016</v>
      </c>
      <c r="P33" s="8"/>
      <c r="Q33" s="7"/>
      <c r="R33" s="7" t="s">
        <v>201</v>
      </c>
      <c r="S33" s="7" t="s">
        <v>203</v>
      </c>
      <c r="T33" s="19">
        <v>44377</v>
      </c>
      <c r="U33" s="9">
        <f t="shared" si="0"/>
        <v>5.4305555555555554</v>
      </c>
      <c r="V33" s="9">
        <f>15.1+1</f>
        <v>16.100000000000001</v>
      </c>
      <c r="W33" s="2" t="s">
        <v>203</v>
      </c>
    </row>
    <row r="34" spans="1:23" s="1" customFormat="1" ht="12.75" x14ac:dyDescent="0.25">
      <c r="A34" s="7">
        <v>32</v>
      </c>
      <c r="B34" s="11" t="s">
        <v>58</v>
      </c>
      <c r="C34" s="7" t="s">
        <v>73</v>
      </c>
      <c r="D34" s="24">
        <v>30388</v>
      </c>
      <c r="E34" s="7" t="s">
        <v>227</v>
      </c>
      <c r="F34" s="7" t="s">
        <v>75</v>
      </c>
      <c r="G34" s="7" t="s">
        <v>77</v>
      </c>
      <c r="H34" s="7" t="s">
        <v>120</v>
      </c>
      <c r="I34" s="7" t="s">
        <v>111</v>
      </c>
      <c r="J34" s="7" t="s">
        <v>150</v>
      </c>
      <c r="K34" s="7" t="s">
        <v>188</v>
      </c>
      <c r="L34" s="19">
        <v>42556</v>
      </c>
      <c r="M34" s="7"/>
      <c r="N34" s="8">
        <v>42405</v>
      </c>
      <c r="O34" s="7">
        <v>2016</v>
      </c>
      <c r="P34" s="19">
        <v>44377</v>
      </c>
      <c r="Q34" s="7">
        <v>2021</v>
      </c>
      <c r="R34" s="7" t="s">
        <v>201</v>
      </c>
      <c r="S34" s="7" t="s">
        <v>203</v>
      </c>
      <c r="T34" s="19">
        <v>44377</v>
      </c>
      <c r="U34" s="9">
        <f>YEARFRAC(N34,T34)</f>
        <v>5.4027777777777777</v>
      </c>
      <c r="V34" s="9">
        <f>6.9+1</f>
        <v>7.9</v>
      </c>
      <c r="W34" s="2" t="s">
        <v>204</v>
      </c>
    </row>
    <row r="35" spans="1:23" s="1" customFormat="1" ht="12.75" x14ac:dyDescent="0.25">
      <c r="A35" s="7">
        <v>33</v>
      </c>
      <c r="B35" s="11" t="s">
        <v>59</v>
      </c>
      <c r="C35" s="7" t="s">
        <v>73</v>
      </c>
      <c r="D35" s="24">
        <v>29469</v>
      </c>
      <c r="E35" s="7" t="s">
        <v>226</v>
      </c>
      <c r="F35" s="7" t="s">
        <v>74</v>
      </c>
      <c r="G35" s="7" t="s">
        <v>78</v>
      </c>
      <c r="H35" s="7" t="s">
        <v>120</v>
      </c>
      <c r="I35" s="7" t="s">
        <v>105</v>
      </c>
      <c r="J35" s="7" t="s">
        <v>151</v>
      </c>
      <c r="K35" s="7" t="s">
        <v>186</v>
      </c>
      <c r="L35" s="19">
        <v>39479</v>
      </c>
      <c r="M35" s="7"/>
      <c r="N35" s="8" t="s">
        <v>199</v>
      </c>
      <c r="O35" s="7">
        <v>2017</v>
      </c>
      <c r="P35" s="8"/>
      <c r="Q35" s="7"/>
      <c r="R35" s="7" t="s">
        <v>201</v>
      </c>
      <c r="S35" s="7" t="s">
        <v>203</v>
      </c>
      <c r="T35" s="19">
        <v>44377</v>
      </c>
      <c r="U35" s="9">
        <f t="shared" si="0"/>
        <v>3.9166666666666665</v>
      </c>
      <c r="V35" s="9">
        <f>15.3+1</f>
        <v>16.3</v>
      </c>
      <c r="W35" s="2" t="s">
        <v>203</v>
      </c>
    </row>
    <row r="36" spans="1:23" s="1" customFormat="1" ht="12.75" x14ac:dyDescent="0.25">
      <c r="A36" s="7">
        <v>34</v>
      </c>
      <c r="B36" s="11" t="s">
        <v>60</v>
      </c>
      <c r="C36" s="7" t="s">
        <v>73</v>
      </c>
      <c r="D36" s="24">
        <v>29052</v>
      </c>
      <c r="E36" s="7" t="s">
        <v>225</v>
      </c>
      <c r="F36" s="7" t="s">
        <v>74</v>
      </c>
      <c r="G36" s="7" t="s">
        <v>78</v>
      </c>
      <c r="H36" s="7" t="s">
        <v>120</v>
      </c>
      <c r="I36" s="7" t="s">
        <v>112</v>
      </c>
      <c r="J36" s="7" t="s">
        <v>129</v>
      </c>
      <c r="K36" s="7" t="s">
        <v>165</v>
      </c>
      <c r="L36" s="19">
        <v>43233</v>
      </c>
      <c r="M36" s="7"/>
      <c r="N36" s="8">
        <v>43419</v>
      </c>
      <c r="O36" s="7">
        <v>2018</v>
      </c>
      <c r="P36" s="19">
        <v>44148</v>
      </c>
      <c r="Q36" s="7">
        <v>2020</v>
      </c>
      <c r="R36" s="7" t="s">
        <v>201</v>
      </c>
      <c r="S36" s="7" t="s">
        <v>203</v>
      </c>
      <c r="T36" s="19">
        <v>44148</v>
      </c>
      <c r="U36" s="9">
        <f>YEARFRAC(N36,T36)</f>
        <v>1.9944444444444445</v>
      </c>
      <c r="V36" s="9">
        <f>12+1</f>
        <v>13</v>
      </c>
      <c r="W36" s="2" t="s">
        <v>203</v>
      </c>
    </row>
    <row r="37" spans="1:23" s="1" customFormat="1" ht="12.75" x14ac:dyDescent="0.25">
      <c r="A37" s="7">
        <v>35</v>
      </c>
      <c r="B37" s="11" t="s">
        <v>63</v>
      </c>
      <c r="C37" s="7" t="s">
        <v>73</v>
      </c>
      <c r="D37" s="24">
        <v>30907</v>
      </c>
      <c r="E37" s="7" t="s">
        <v>220</v>
      </c>
      <c r="F37" s="7" t="s">
        <v>74</v>
      </c>
      <c r="G37" s="7" t="s">
        <v>77</v>
      </c>
      <c r="H37" s="7" t="s">
        <v>120</v>
      </c>
      <c r="I37" s="7" t="s">
        <v>115</v>
      </c>
      <c r="J37" s="7" t="s">
        <v>154</v>
      </c>
      <c r="K37" s="7" t="s">
        <v>193</v>
      </c>
      <c r="L37" s="19">
        <v>42598</v>
      </c>
      <c r="M37" s="7"/>
      <c r="N37" s="8">
        <v>43860</v>
      </c>
      <c r="O37" s="7">
        <v>2020</v>
      </c>
      <c r="P37" s="19">
        <v>44320</v>
      </c>
      <c r="Q37" s="7">
        <v>2021</v>
      </c>
      <c r="R37" s="7" t="s">
        <v>201</v>
      </c>
      <c r="S37" s="7" t="s">
        <v>203</v>
      </c>
      <c r="T37" s="19">
        <v>44320</v>
      </c>
      <c r="U37" s="9">
        <f>YEARFRAC(N37,T37)</f>
        <v>1.2611111111111111</v>
      </c>
      <c r="V37" s="9">
        <v>10.5</v>
      </c>
      <c r="W37" s="2" t="s">
        <v>203</v>
      </c>
    </row>
    <row r="38" spans="1:23" s="1" customFormat="1" ht="12.75" x14ac:dyDescent="0.25">
      <c r="A38" s="7">
        <v>36</v>
      </c>
      <c r="B38" s="11" t="s">
        <v>64</v>
      </c>
      <c r="C38" s="7" t="s">
        <v>73</v>
      </c>
      <c r="D38" s="24">
        <v>32900</v>
      </c>
      <c r="E38" s="7" t="s">
        <v>218</v>
      </c>
      <c r="F38" s="7" t="s">
        <v>74</v>
      </c>
      <c r="G38" s="7" t="s">
        <v>77</v>
      </c>
      <c r="H38" s="7" t="s">
        <v>120</v>
      </c>
      <c r="I38" s="7" t="s">
        <v>111</v>
      </c>
      <c r="J38" s="7" t="s">
        <v>155</v>
      </c>
      <c r="K38" s="7" t="s">
        <v>188</v>
      </c>
      <c r="L38" s="19">
        <v>43883</v>
      </c>
      <c r="M38" s="7"/>
      <c r="N38" s="8">
        <v>43906</v>
      </c>
      <c r="O38" s="7">
        <v>2020</v>
      </c>
      <c r="P38" s="19">
        <v>44286</v>
      </c>
      <c r="Q38" s="7">
        <v>2021</v>
      </c>
      <c r="R38" s="7" t="s">
        <v>201</v>
      </c>
      <c r="S38" s="7" t="s">
        <v>203</v>
      </c>
      <c r="T38" s="19">
        <v>44286</v>
      </c>
      <c r="U38" s="9">
        <f>YEARFRAC(N38,T38)</f>
        <v>1.0416666666666667</v>
      </c>
      <c r="V38" s="9">
        <v>2.4</v>
      </c>
      <c r="W38" s="2" t="s">
        <v>203</v>
      </c>
    </row>
    <row r="39" spans="1:23" s="1" customFormat="1" ht="12.75" x14ac:dyDescent="0.25">
      <c r="A39" s="7">
        <v>37</v>
      </c>
      <c r="B39" s="11" t="s">
        <v>263</v>
      </c>
      <c r="C39" s="7" t="s">
        <v>73</v>
      </c>
      <c r="D39" s="25">
        <v>29967</v>
      </c>
      <c r="E39" s="7" t="s">
        <v>264</v>
      </c>
      <c r="F39" s="7" t="s">
        <v>74</v>
      </c>
      <c r="G39" s="7" t="s">
        <v>77</v>
      </c>
      <c r="H39" s="7" t="s">
        <v>119</v>
      </c>
      <c r="I39" s="7" t="s">
        <v>265</v>
      </c>
      <c r="J39" s="7" t="s">
        <v>266</v>
      </c>
      <c r="K39" s="7" t="s">
        <v>173</v>
      </c>
      <c r="L39" s="19">
        <v>41543</v>
      </c>
      <c r="M39" s="7"/>
      <c r="N39" s="8" t="s">
        <v>267</v>
      </c>
      <c r="O39" s="7">
        <v>2020</v>
      </c>
      <c r="P39" s="8"/>
      <c r="Q39" s="7"/>
      <c r="R39" s="7" t="s">
        <v>201</v>
      </c>
      <c r="S39" s="7" t="s">
        <v>203</v>
      </c>
      <c r="T39" s="19">
        <v>44377</v>
      </c>
      <c r="U39" s="9">
        <f t="shared" si="0"/>
        <v>0.56388888888888888</v>
      </c>
      <c r="V39" s="9">
        <v>5.9</v>
      </c>
      <c r="W39" s="2" t="s">
        <v>203</v>
      </c>
    </row>
    <row r="41" spans="1:23" s="1" customFormat="1" ht="12.75" x14ac:dyDescent="0.25">
      <c r="B41" s="6"/>
    </row>
  </sheetData>
  <mergeCells count="1">
    <mergeCell ref="A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DC72-A29D-46D1-AD16-919A03E1E205}">
  <dimension ref="A1:W41"/>
  <sheetViews>
    <sheetView zoomScale="9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0" sqref="E10"/>
    </sheetView>
  </sheetViews>
  <sheetFormatPr defaultRowHeight="15" x14ac:dyDescent="0.25"/>
  <cols>
    <col min="1" max="1" width="6.42578125" style="12" bestFit="1" customWidth="1"/>
    <col min="2" max="2" width="35" style="18" bestFit="1" customWidth="1"/>
    <col min="3" max="3" width="37.5703125" style="12" bestFit="1" customWidth="1"/>
    <col min="4" max="4" width="12.85546875" style="26" bestFit="1" customWidth="1"/>
    <col min="5" max="5" width="12.140625" style="12" bestFit="1" customWidth="1"/>
    <col min="6" max="6" width="12.85546875" style="12" bestFit="1" customWidth="1"/>
    <col min="7" max="7" width="7.7109375" style="12" bestFit="1" customWidth="1"/>
    <col min="8" max="8" width="33.85546875" style="12" bestFit="1" customWidth="1"/>
    <col min="9" max="9" width="69.85546875" style="12" bestFit="1" customWidth="1"/>
    <col min="10" max="10" width="42.42578125" style="12" bestFit="1" customWidth="1"/>
    <col min="11" max="11" width="31.28515625" style="12" bestFit="1" customWidth="1"/>
    <col min="12" max="12" width="38.7109375" style="12" bestFit="1" customWidth="1"/>
    <col min="13" max="13" width="57.140625" style="12" bestFit="1" customWidth="1"/>
    <col min="14" max="14" width="27.28515625" style="12" bestFit="1" customWidth="1"/>
    <col min="15" max="15" width="15.5703125" style="12" bestFit="1" customWidth="1"/>
    <col min="16" max="16" width="17" style="12" bestFit="1" customWidth="1"/>
    <col min="17" max="17" width="17.42578125" style="12" bestFit="1" customWidth="1"/>
    <col min="18" max="18" width="85.28515625" style="12" bestFit="1" customWidth="1"/>
    <col min="19" max="19" width="32.28515625" style="12" bestFit="1" customWidth="1"/>
    <col min="20" max="20" width="10.140625" style="12" bestFit="1" customWidth="1"/>
    <col min="21" max="21" width="28.140625" style="38" bestFit="1" customWidth="1"/>
    <col min="22" max="22" width="45" style="12" bestFit="1" customWidth="1"/>
    <col min="23" max="23" width="112.5703125" style="12" bestFit="1" customWidth="1"/>
    <col min="24" max="24" width="20.42578125" style="12" bestFit="1" customWidth="1"/>
    <col min="25" max="16384" width="9.140625" style="12"/>
  </cols>
  <sheetData>
    <row r="1" spans="1:23" s="1" customFormat="1" ht="12.75" x14ac:dyDescent="0.25">
      <c r="A1" s="71" t="s">
        <v>202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1" customFormat="1" ht="12.75" x14ac:dyDescent="0.25">
      <c r="A2" s="13" t="s">
        <v>6</v>
      </c>
      <c r="B2" s="17" t="s">
        <v>7</v>
      </c>
      <c r="C2" s="13" t="s">
        <v>0</v>
      </c>
      <c r="D2" s="13" t="s">
        <v>382</v>
      </c>
      <c r="E2" s="13" t="s">
        <v>1</v>
      </c>
      <c r="F2" s="13" t="s">
        <v>16</v>
      </c>
      <c r="G2" s="13" t="s">
        <v>2</v>
      </c>
      <c r="H2" s="13" t="s">
        <v>17</v>
      </c>
      <c r="I2" s="13" t="s">
        <v>12</v>
      </c>
      <c r="J2" s="13" t="s">
        <v>3</v>
      </c>
      <c r="K2" s="13" t="s">
        <v>14</v>
      </c>
      <c r="L2" s="13" t="s">
        <v>8</v>
      </c>
      <c r="M2" s="13" t="s">
        <v>15</v>
      </c>
      <c r="N2" s="14" t="s">
        <v>10</v>
      </c>
      <c r="O2" s="14" t="s">
        <v>9</v>
      </c>
      <c r="P2" s="14" t="s">
        <v>4</v>
      </c>
      <c r="Q2" s="14" t="s">
        <v>11</v>
      </c>
      <c r="R2" s="13" t="s">
        <v>18</v>
      </c>
      <c r="S2" s="13" t="s">
        <v>19</v>
      </c>
      <c r="T2" s="13" t="s">
        <v>205</v>
      </c>
      <c r="U2" s="36" t="s">
        <v>13</v>
      </c>
      <c r="V2" s="14" t="s">
        <v>20</v>
      </c>
      <c r="W2" s="15" t="s">
        <v>5</v>
      </c>
    </row>
    <row r="3" spans="1:23" s="1" customFormat="1" ht="12.75" x14ac:dyDescent="0.25">
      <c r="A3" s="2">
        <v>1</v>
      </c>
      <c r="B3" s="10" t="s">
        <v>21</v>
      </c>
      <c r="C3" s="2" t="s">
        <v>67</v>
      </c>
      <c r="D3" s="23">
        <v>25422</v>
      </c>
      <c r="E3" s="2" t="s">
        <v>207</v>
      </c>
      <c r="F3" s="2" t="s">
        <v>74</v>
      </c>
      <c r="G3" s="2" t="s">
        <v>77</v>
      </c>
      <c r="H3" s="2" t="s">
        <v>117</v>
      </c>
      <c r="I3" s="2" t="s">
        <v>79</v>
      </c>
      <c r="J3" s="2" t="s">
        <v>123</v>
      </c>
      <c r="K3" s="2" t="s">
        <v>158</v>
      </c>
      <c r="L3" s="16">
        <v>2012</v>
      </c>
      <c r="M3" s="2"/>
      <c r="N3" s="16">
        <v>43344</v>
      </c>
      <c r="O3" s="2">
        <v>2018</v>
      </c>
      <c r="P3" s="3"/>
      <c r="Q3" s="2"/>
      <c r="R3" s="2" t="s">
        <v>200</v>
      </c>
      <c r="S3" s="2" t="s">
        <v>203</v>
      </c>
      <c r="T3" s="16">
        <v>44012</v>
      </c>
      <c r="U3" s="37">
        <f>YEARFRAC(N3,T3)</f>
        <v>1.8305555555555555</v>
      </c>
      <c r="V3" s="4">
        <v>29</v>
      </c>
      <c r="W3" s="2" t="s">
        <v>203</v>
      </c>
    </row>
    <row r="4" spans="1:23" s="1" customFormat="1" ht="12.75" x14ac:dyDescent="0.25">
      <c r="A4" s="2">
        <v>2</v>
      </c>
      <c r="B4" s="10" t="s">
        <v>22</v>
      </c>
      <c r="C4" s="2" t="s">
        <v>68</v>
      </c>
      <c r="D4" s="23">
        <v>24409</v>
      </c>
      <c r="E4" s="2" t="s">
        <v>208</v>
      </c>
      <c r="F4" s="2" t="s">
        <v>74</v>
      </c>
      <c r="G4" s="2" t="s">
        <v>77</v>
      </c>
      <c r="H4" s="2" t="s">
        <v>117</v>
      </c>
      <c r="I4" s="2" t="s">
        <v>80</v>
      </c>
      <c r="J4" s="2" t="s">
        <v>124</v>
      </c>
      <c r="K4" s="2" t="s">
        <v>159</v>
      </c>
      <c r="L4" s="16">
        <v>36281</v>
      </c>
      <c r="M4" s="2" t="s">
        <v>318</v>
      </c>
      <c r="N4" s="16">
        <v>43617</v>
      </c>
      <c r="O4" s="2">
        <v>2019</v>
      </c>
      <c r="P4" s="3">
        <v>44012</v>
      </c>
      <c r="Q4" s="2">
        <v>2020</v>
      </c>
      <c r="R4" s="2" t="s">
        <v>201</v>
      </c>
      <c r="S4" s="2" t="s">
        <v>203</v>
      </c>
      <c r="T4" s="3">
        <v>44012</v>
      </c>
      <c r="U4" s="37">
        <f t="shared" ref="U4:U41" si="0">YEARFRAC(N4,T4)</f>
        <v>1.0805555555555555</v>
      </c>
      <c r="V4" s="4">
        <v>32.5</v>
      </c>
      <c r="W4" s="2">
        <v>2020</v>
      </c>
    </row>
    <row r="5" spans="1:23" s="1" customFormat="1" ht="12.75" x14ac:dyDescent="0.25">
      <c r="A5" s="2">
        <v>3</v>
      </c>
      <c r="B5" s="10" t="s">
        <v>23</v>
      </c>
      <c r="C5" s="2" t="s">
        <v>69</v>
      </c>
      <c r="D5" s="25">
        <v>24208</v>
      </c>
      <c r="E5" s="2" t="s">
        <v>209</v>
      </c>
      <c r="F5" s="2" t="s">
        <v>74</v>
      </c>
      <c r="G5" s="2" t="s">
        <v>77</v>
      </c>
      <c r="H5" s="2" t="s">
        <v>117</v>
      </c>
      <c r="I5" s="2" t="s">
        <v>81</v>
      </c>
      <c r="J5" s="2" t="s">
        <v>125</v>
      </c>
      <c r="K5" s="2" t="s">
        <v>160</v>
      </c>
      <c r="L5" s="16">
        <v>35763</v>
      </c>
      <c r="M5" s="16">
        <v>39965</v>
      </c>
      <c r="N5" s="16" t="s">
        <v>195</v>
      </c>
      <c r="O5" s="2">
        <v>1990</v>
      </c>
      <c r="P5" s="3"/>
      <c r="Q5" s="2"/>
      <c r="R5" s="2" t="s">
        <v>201</v>
      </c>
      <c r="S5" s="2" t="s">
        <v>203</v>
      </c>
      <c r="T5" s="16">
        <v>44012</v>
      </c>
      <c r="U5" s="37">
        <f t="shared" si="0"/>
        <v>30.383333333333333</v>
      </c>
      <c r="V5" s="4">
        <v>31.4</v>
      </c>
      <c r="W5" s="2" t="s">
        <v>203</v>
      </c>
    </row>
    <row r="6" spans="1:23" s="1" customFormat="1" ht="12.75" x14ac:dyDescent="0.25">
      <c r="A6" s="2">
        <v>4</v>
      </c>
      <c r="B6" s="10" t="s">
        <v>24</v>
      </c>
      <c r="C6" s="2" t="s">
        <v>69</v>
      </c>
      <c r="D6" s="25">
        <v>23942</v>
      </c>
      <c r="E6" s="2" t="s">
        <v>210</v>
      </c>
      <c r="F6" s="2" t="s">
        <v>74</v>
      </c>
      <c r="G6" s="2" t="s">
        <v>77</v>
      </c>
      <c r="H6" s="2" t="s">
        <v>117</v>
      </c>
      <c r="I6" s="2" t="s">
        <v>82</v>
      </c>
      <c r="J6" s="2" t="s">
        <v>126</v>
      </c>
      <c r="K6" s="2" t="s">
        <v>161</v>
      </c>
      <c r="L6" s="16">
        <v>39046</v>
      </c>
      <c r="M6" s="16">
        <v>41821</v>
      </c>
      <c r="N6" s="16">
        <v>35101</v>
      </c>
      <c r="O6" s="2">
        <v>1996</v>
      </c>
      <c r="P6" s="3"/>
      <c r="Q6" s="2"/>
      <c r="R6" s="2" t="s">
        <v>201</v>
      </c>
      <c r="S6" s="2" t="s">
        <v>203</v>
      </c>
      <c r="T6" s="16">
        <v>44012</v>
      </c>
      <c r="U6" s="37">
        <f t="shared" si="0"/>
        <v>24.4</v>
      </c>
      <c r="V6" s="4">
        <v>29.333333333333332</v>
      </c>
      <c r="W6" s="2" t="s">
        <v>203</v>
      </c>
    </row>
    <row r="7" spans="1:23" s="1" customFormat="1" ht="12.75" x14ac:dyDescent="0.25">
      <c r="A7" s="2">
        <v>5</v>
      </c>
      <c r="B7" s="10" t="s">
        <v>25</v>
      </c>
      <c r="C7" s="2" t="s">
        <v>69</v>
      </c>
      <c r="D7" s="25">
        <v>21373</v>
      </c>
      <c r="E7" s="2" t="s">
        <v>211</v>
      </c>
      <c r="F7" s="2" t="s">
        <v>74</v>
      </c>
      <c r="G7" s="2" t="s">
        <v>78</v>
      </c>
      <c r="H7" s="2" t="s">
        <v>117</v>
      </c>
      <c r="I7" s="2" t="s">
        <v>83</v>
      </c>
      <c r="J7" s="2" t="s">
        <v>127</v>
      </c>
      <c r="K7" s="2" t="s">
        <v>162</v>
      </c>
      <c r="L7" s="16">
        <v>1986</v>
      </c>
      <c r="M7" s="16">
        <v>41122</v>
      </c>
      <c r="N7" s="16">
        <v>35063</v>
      </c>
      <c r="O7" s="2">
        <v>1995</v>
      </c>
      <c r="P7" s="3"/>
      <c r="Q7" s="2"/>
      <c r="R7" s="2" t="s">
        <v>201</v>
      </c>
      <c r="S7" s="2" t="s">
        <v>203</v>
      </c>
      <c r="T7" s="16">
        <v>44012</v>
      </c>
      <c r="U7" s="37">
        <f>YEARFRAC(N7,T7)</f>
        <v>24.5</v>
      </c>
      <c r="V7" s="4">
        <v>35.733333333333334</v>
      </c>
      <c r="W7" s="2" t="s">
        <v>203</v>
      </c>
    </row>
    <row r="8" spans="1:23" s="1" customFormat="1" ht="12.75" x14ac:dyDescent="0.25">
      <c r="A8" s="2">
        <v>6</v>
      </c>
      <c r="B8" s="10" t="s">
        <v>26</v>
      </c>
      <c r="C8" s="2" t="s">
        <v>69</v>
      </c>
      <c r="D8" s="25">
        <v>23265</v>
      </c>
      <c r="E8" s="2" t="s">
        <v>212</v>
      </c>
      <c r="F8" s="2" t="s">
        <v>75</v>
      </c>
      <c r="G8" s="2" t="s">
        <v>77</v>
      </c>
      <c r="H8" s="2" t="s">
        <v>117</v>
      </c>
      <c r="I8" s="2" t="s">
        <v>82</v>
      </c>
      <c r="J8" s="2" t="s">
        <v>128</v>
      </c>
      <c r="K8" s="2" t="s">
        <v>164</v>
      </c>
      <c r="L8" s="16">
        <v>41363</v>
      </c>
      <c r="M8" s="16">
        <v>42846</v>
      </c>
      <c r="N8" s="16">
        <v>35704</v>
      </c>
      <c r="O8" s="2">
        <v>1997</v>
      </c>
      <c r="P8" s="3"/>
      <c r="Q8" s="2"/>
      <c r="R8" s="2" t="s">
        <v>201</v>
      </c>
      <c r="S8" s="2" t="s">
        <v>203</v>
      </c>
      <c r="T8" s="16">
        <v>44012</v>
      </c>
      <c r="U8" s="37">
        <f t="shared" si="0"/>
        <v>22.747222222222224</v>
      </c>
      <c r="V8" s="4">
        <v>34</v>
      </c>
      <c r="W8" s="2" t="s">
        <v>203</v>
      </c>
    </row>
    <row r="9" spans="1:23" s="1" customFormat="1" ht="12.75" x14ac:dyDescent="0.25">
      <c r="A9" s="2">
        <v>7</v>
      </c>
      <c r="B9" s="10" t="s">
        <v>27</v>
      </c>
      <c r="C9" s="2" t="s">
        <v>69</v>
      </c>
      <c r="D9" s="25">
        <v>23265</v>
      </c>
      <c r="E9" s="2" t="s">
        <v>213</v>
      </c>
      <c r="F9" s="2" t="s">
        <v>74</v>
      </c>
      <c r="G9" s="2" t="s">
        <v>77</v>
      </c>
      <c r="H9" s="2" t="s">
        <v>117</v>
      </c>
      <c r="I9" s="2" t="s">
        <v>84</v>
      </c>
      <c r="J9" s="2" t="s">
        <v>129</v>
      </c>
      <c r="K9" s="2" t="s">
        <v>165</v>
      </c>
      <c r="L9" s="16">
        <v>34095</v>
      </c>
      <c r="M9" s="16">
        <v>39264</v>
      </c>
      <c r="N9" s="16">
        <v>35062</v>
      </c>
      <c r="O9" s="2">
        <v>1995</v>
      </c>
      <c r="P9" s="3"/>
      <c r="Q9" s="2"/>
      <c r="R9" s="2" t="s">
        <v>201</v>
      </c>
      <c r="S9" s="2" t="s">
        <v>203</v>
      </c>
      <c r="T9" s="16">
        <v>44012</v>
      </c>
      <c r="U9" s="37">
        <f t="shared" si="0"/>
        <v>24.502777777777776</v>
      </c>
      <c r="V9" s="4">
        <v>26.1666666666667</v>
      </c>
      <c r="W9" s="2" t="s">
        <v>203</v>
      </c>
    </row>
    <row r="10" spans="1:23" s="1" customFormat="1" ht="12.75" x14ac:dyDescent="0.25">
      <c r="A10" s="2">
        <v>8</v>
      </c>
      <c r="B10" s="10" t="s">
        <v>28</v>
      </c>
      <c r="C10" s="2" t="s">
        <v>69</v>
      </c>
      <c r="D10" s="23">
        <v>28347</v>
      </c>
      <c r="E10" s="2" t="s">
        <v>214</v>
      </c>
      <c r="F10" s="2" t="s">
        <v>75</v>
      </c>
      <c r="G10" s="2" t="s">
        <v>78</v>
      </c>
      <c r="H10" s="2" t="s">
        <v>119</v>
      </c>
      <c r="I10" s="2" t="s">
        <v>86</v>
      </c>
      <c r="J10" s="2" t="s">
        <v>130</v>
      </c>
      <c r="K10" s="2" t="s">
        <v>167</v>
      </c>
      <c r="L10" s="16">
        <v>40109</v>
      </c>
      <c r="M10" s="2"/>
      <c r="N10" s="16">
        <v>43637</v>
      </c>
      <c r="O10" s="2">
        <v>2019</v>
      </c>
      <c r="P10" s="3">
        <v>44002</v>
      </c>
      <c r="Q10" s="2">
        <v>2020</v>
      </c>
      <c r="R10" s="2" t="s">
        <v>201</v>
      </c>
      <c r="S10" s="2" t="s">
        <v>203</v>
      </c>
      <c r="T10" s="3">
        <v>44002</v>
      </c>
      <c r="U10" s="37">
        <f t="shared" si="0"/>
        <v>0.99722222222222223</v>
      </c>
      <c r="V10" s="4">
        <v>18.3</v>
      </c>
      <c r="W10" s="2">
        <v>2020</v>
      </c>
    </row>
    <row r="11" spans="1:23" s="1" customFormat="1" ht="12.75" x14ac:dyDescent="0.25">
      <c r="A11" s="2">
        <v>9</v>
      </c>
      <c r="B11" s="10" t="s">
        <v>29</v>
      </c>
      <c r="C11" s="2" t="s">
        <v>69</v>
      </c>
      <c r="D11" s="23">
        <v>28639</v>
      </c>
      <c r="E11" s="2" t="s">
        <v>215</v>
      </c>
      <c r="F11" s="2" t="s">
        <v>76</v>
      </c>
      <c r="G11" s="2" t="s">
        <v>78</v>
      </c>
      <c r="H11" s="2" t="s">
        <v>117</v>
      </c>
      <c r="I11" s="2" t="s">
        <v>87</v>
      </c>
      <c r="J11" s="2" t="s">
        <v>131</v>
      </c>
      <c r="K11" s="2" t="s">
        <v>168</v>
      </c>
      <c r="L11" s="16">
        <v>45047</v>
      </c>
      <c r="M11" s="2"/>
      <c r="N11" s="16">
        <v>43643</v>
      </c>
      <c r="O11" s="2">
        <v>2019</v>
      </c>
      <c r="P11" s="3">
        <v>43889</v>
      </c>
      <c r="Q11" s="2">
        <v>2020</v>
      </c>
      <c r="R11" s="2" t="s">
        <v>201</v>
      </c>
      <c r="S11" s="2" t="s">
        <v>203</v>
      </c>
      <c r="T11" s="3">
        <v>43889</v>
      </c>
      <c r="U11" s="37">
        <f t="shared" si="0"/>
        <v>0.6694444444444444</v>
      </c>
      <c r="V11" s="4">
        <v>16.666666666666668</v>
      </c>
      <c r="W11" s="2">
        <v>2020</v>
      </c>
    </row>
    <row r="12" spans="1:23" s="1" customFormat="1" ht="12.75" x14ac:dyDescent="0.25">
      <c r="A12" s="2">
        <v>10</v>
      </c>
      <c r="B12" s="10" t="s">
        <v>32</v>
      </c>
      <c r="C12" s="2" t="s">
        <v>72</v>
      </c>
      <c r="D12" s="23">
        <v>26392</v>
      </c>
      <c r="E12" s="2" t="s">
        <v>241</v>
      </c>
      <c r="F12" s="2" t="s">
        <v>74</v>
      </c>
      <c r="G12" s="2" t="s">
        <v>78</v>
      </c>
      <c r="H12" s="2" t="s">
        <v>117</v>
      </c>
      <c r="I12" s="2" t="s">
        <v>83</v>
      </c>
      <c r="J12" s="2" t="s">
        <v>134</v>
      </c>
      <c r="K12" s="2" t="s">
        <v>171</v>
      </c>
      <c r="L12" s="16">
        <v>36522</v>
      </c>
      <c r="M12" s="2"/>
      <c r="N12" s="16">
        <v>38474</v>
      </c>
      <c r="O12" s="2">
        <v>2005</v>
      </c>
      <c r="P12" s="3"/>
      <c r="Q12" s="2"/>
      <c r="R12" s="2" t="s">
        <v>201</v>
      </c>
      <c r="S12" s="2" t="s">
        <v>203</v>
      </c>
      <c r="T12" s="16">
        <v>44012</v>
      </c>
      <c r="U12" s="37">
        <f t="shared" si="0"/>
        <v>15.161111111111111</v>
      </c>
      <c r="V12" s="4">
        <v>21.099999999999998</v>
      </c>
      <c r="W12" s="2" t="s">
        <v>203</v>
      </c>
    </row>
    <row r="13" spans="1:23" s="1" customFormat="1" ht="12.75" x14ac:dyDescent="0.25">
      <c r="A13" s="2">
        <v>11</v>
      </c>
      <c r="B13" s="10" t="s">
        <v>33</v>
      </c>
      <c r="C13" s="2" t="s">
        <v>72</v>
      </c>
      <c r="D13" s="23">
        <v>23885</v>
      </c>
      <c r="E13" s="2" t="s">
        <v>240</v>
      </c>
      <c r="F13" s="2" t="s">
        <v>74</v>
      </c>
      <c r="G13" s="2" t="s">
        <v>77</v>
      </c>
      <c r="H13" s="2" t="s">
        <v>117</v>
      </c>
      <c r="I13" s="2" t="s">
        <v>90</v>
      </c>
      <c r="J13" s="2" t="s">
        <v>126</v>
      </c>
      <c r="K13" s="2" t="s">
        <v>172</v>
      </c>
      <c r="L13" s="16">
        <v>33797</v>
      </c>
      <c r="M13" s="16">
        <v>41275</v>
      </c>
      <c r="N13" s="16">
        <v>39235</v>
      </c>
      <c r="O13" s="2">
        <v>2007</v>
      </c>
      <c r="P13" s="3"/>
      <c r="Q13" s="2"/>
      <c r="R13" s="2" t="s">
        <v>201</v>
      </c>
      <c r="S13" s="2" t="s">
        <v>203</v>
      </c>
      <c r="T13" s="16">
        <v>44012</v>
      </c>
      <c r="U13" s="37">
        <f t="shared" si="0"/>
        <v>13.077777777777778</v>
      </c>
      <c r="V13" s="4">
        <v>29</v>
      </c>
      <c r="W13" s="2" t="s">
        <v>203</v>
      </c>
    </row>
    <row r="14" spans="1:23" s="1" customFormat="1" ht="12.75" x14ac:dyDescent="0.25">
      <c r="A14" s="2">
        <v>12</v>
      </c>
      <c r="B14" s="10" t="s">
        <v>34</v>
      </c>
      <c r="C14" s="2" t="s">
        <v>72</v>
      </c>
      <c r="D14" s="23">
        <v>26257</v>
      </c>
      <c r="E14" s="2" t="s">
        <v>239</v>
      </c>
      <c r="F14" s="2" t="s">
        <v>74</v>
      </c>
      <c r="G14" s="2" t="s">
        <v>77</v>
      </c>
      <c r="H14" s="2" t="s">
        <v>117</v>
      </c>
      <c r="I14" s="2" t="s">
        <v>91</v>
      </c>
      <c r="J14" s="2" t="s">
        <v>134</v>
      </c>
      <c r="K14" s="2" t="s">
        <v>173</v>
      </c>
      <c r="L14" s="16">
        <v>40336</v>
      </c>
      <c r="M14" s="16">
        <v>42005</v>
      </c>
      <c r="N14" s="16">
        <v>35143</v>
      </c>
      <c r="O14" s="2">
        <v>1996</v>
      </c>
      <c r="P14" s="3"/>
      <c r="Q14" s="2"/>
      <c r="R14" s="2" t="s">
        <v>201</v>
      </c>
      <c r="S14" s="2" t="s">
        <v>203</v>
      </c>
      <c r="T14" s="16">
        <v>44012</v>
      </c>
      <c r="U14" s="37">
        <f t="shared" si="0"/>
        <v>24.280555555555555</v>
      </c>
      <c r="V14" s="4">
        <v>24</v>
      </c>
      <c r="W14" s="2" t="s">
        <v>203</v>
      </c>
    </row>
    <row r="15" spans="1:23" s="1" customFormat="1" ht="12.75" x14ac:dyDescent="0.25">
      <c r="A15" s="2">
        <v>13</v>
      </c>
      <c r="B15" s="10" t="s">
        <v>35</v>
      </c>
      <c r="C15" s="2" t="s">
        <v>72</v>
      </c>
      <c r="D15" s="23">
        <v>26622</v>
      </c>
      <c r="E15" s="2" t="s">
        <v>238</v>
      </c>
      <c r="F15" s="2" t="s">
        <v>74</v>
      </c>
      <c r="G15" s="2" t="s">
        <v>78</v>
      </c>
      <c r="H15" s="2" t="s">
        <v>117</v>
      </c>
      <c r="I15" s="2" t="s">
        <v>92</v>
      </c>
      <c r="J15" s="2" t="s">
        <v>126</v>
      </c>
      <c r="K15" s="2" t="s">
        <v>174</v>
      </c>
      <c r="L15" s="16">
        <v>39629</v>
      </c>
      <c r="M15" s="16"/>
      <c r="N15" s="16">
        <v>40026</v>
      </c>
      <c r="O15" s="2">
        <v>2009</v>
      </c>
      <c r="P15" s="3"/>
      <c r="Q15" s="2"/>
      <c r="R15" s="2" t="s">
        <v>201</v>
      </c>
      <c r="S15" s="2" t="s">
        <v>203</v>
      </c>
      <c r="T15" s="16">
        <v>44012</v>
      </c>
      <c r="U15" s="37">
        <f t="shared" si="0"/>
        <v>10.91388888888889</v>
      </c>
      <c r="V15" s="4">
        <v>20</v>
      </c>
      <c r="W15" s="2" t="s">
        <v>203</v>
      </c>
    </row>
    <row r="16" spans="1:23" s="1" customFormat="1" ht="12.75" x14ac:dyDescent="0.25">
      <c r="A16" s="2">
        <v>14</v>
      </c>
      <c r="B16" s="10" t="s">
        <v>36</v>
      </c>
      <c r="C16" s="2" t="s">
        <v>72</v>
      </c>
      <c r="D16" s="23">
        <v>27104</v>
      </c>
      <c r="E16" s="2" t="s">
        <v>237</v>
      </c>
      <c r="F16" s="2" t="s">
        <v>74</v>
      </c>
      <c r="G16" s="2" t="s">
        <v>78</v>
      </c>
      <c r="H16" s="2" t="s">
        <v>117</v>
      </c>
      <c r="I16" s="2" t="s">
        <v>93</v>
      </c>
      <c r="J16" s="2" t="s">
        <v>135</v>
      </c>
      <c r="K16" s="2" t="s">
        <v>175</v>
      </c>
      <c r="L16" s="16">
        <v>40148</v>
      </c>
      <c r="M16" s="16">
        <v>41730</v>
      </c>
      <c r="N16" s="16">
        <v>40269</v>
      </c>
      <c r="O16" s="2">
        <v>2010</v>
      </c>
      <c r="P16" s="3"/>
      <c r="Q16" s="2"/>
      <c r="R16" s="2" t="s">
        <v>201</v>
      </c>
      <c r="S16" s="2" t="s">
        <v>204</v>
      </c>
      <c r="T16" s="16">
        <v>44012</v>
      </c>
      <c r="U16" s="37">
        <f t="shared" si="0"/>
        <v>10.247222222222222</v>
      </c>
      <c r="V16" s="4">
        <v>21.666666666666668</v>
      </c>
      <c r="W16" s="2" t="s">
        <v>203</v>
      </c>
    </row>
    <row r="17" spans="1:23" s="1" customFormat="1" ht="12.75" x14ac:dyDescent="0.25">
      <c r="A17" s="2">
        <v>15</v>
      </c>
      <c r="B17" s="10" t="s">
        <v>37</v>
      </c>
      <c r="C17" s="2" t="s">
        <v>72</v>
      </c>
      <c r="D17" s="23">
        <v>25706</v>
      </c>
      <c r="E17" s="2" t="s">
        <v>236</v>
      </c>
      <c r="F17" s="2" t="s">
        <v>74</v>
      </c>
      <c r="G17" s="2" t="s">
        <v>78</v>
      </c>
      <c r="H17" s="2" t="s">
        <v>117</v>
      </c>
      <c r="I17" s="2" t="s">
        <v>94</v>
      </c>
      <c r="J17" s="2" t="s">
        <v>126</v>
      </c>
      <c r="K17" s="2" t="s">
        <v>172</v>
      </c>
      <c r="L17" s="16">
        <v>39849</v>
      </c>
      <c r="M17" s="16">
        <v>41730</v>
      </c>
      <c r="N17" s="16">
        <v>40269</v>
      </c>
      <c r="O17" s="2">
        <v>2010</v>
      </c>
      <c r="P17" s="3">
        <v>43829</v>
      </c>
      <c r="Q17" s="2">
        <v>2019</v>
      </c>
      <c r="R17" s="2" t="s">
        <v>201</v>
      </c>
      <c r="S17" s="2" t="s">
        <v>203</v>
      </c>
      <c r="T17" s="3">
        <v>43829</v>
      </c>
      <c r="U17" s="37">
        <f t="shared" si="0"/>
        <v>9.7472222222222218</v>
      </c>
      <c r="V17" s="4">
        <v>24.916666666666668</v>
      </c>
      <c r="W17" s="2">
        <v>2019</v>
      </c>
    </row>
    <row r="18" spans="1:23" s="1" customFormat="1" ht="12.75" x14ac:dyDescent="0.25">
      <c r="A18" s="2">
        <v>16</v>
      </c>
      <c r="B18" s="10" t="s">
        <v>38</v>
      </c>
      <c r="C18" s="2" t="s">
        <v>72</v>
      </c>
      <c r="D18" s="23">
        <v>27271</v>
      </c>
      <c r="E18" s="2" t="s">
        <v>235</v>
      </c>
      <c r="F18" s="2" t="s">
        <v>74</v>
      </c>
      <c r="G18" s="2" t="s">
        <v>77</v>
      </c>
      <c r="H18" s="2" t="s">
        <v>117</v>
      </c>
      <c r="I18" s="2" t="s">
        <v>95</v>
      </c>
      <c r="J18" s="2" t="s">
        <v>126</v>
      </c>
      <c r="K18" s="2" t="s">
        <v>172</v>
      </c>
      <c r="L18" s="16">
        <v>40575</v>
      </c>
      <c r="M18" s="16">
        <v>43191</v>
      </c>
      <c r="N18" s="16">
        <v>40634</v>
      </c>
      <c r="O18" s="2">
        <v>2011</v>
      </c>
      <c r="P18" s="3"/>
      <c r="Q18" s="2"/>
      <c r="R18" s="2" t="s">
        <v>201</v>
      </c>
      <c r="S18" s="2" t="s">
        <v>203</v>
      </c>
      <c r="T18" s="16">
        <v>44012</v>
      </c>
      <c r="U18" s="37">
        <f t="shared" si="0"/>
        <v>9.2472222222222218</v>
      </c>
      <c r="V18" s="4">
        <v>19.666666666666668</v>
      </c>
      <c r="W18" s="2" t="s">
        <v>203</v>
      </c>
    </row>
    <row r="19" spans="1:23" s="1" customFormat="1" ht="12.75" x14ac:dyDescent="0.25">
      <c r="A19" s="2">
        <v>17</v>
      </c>
      <c r="B19" s="10" t="s">
        <v>39</v>
      </c>
      <c r="C19" s="2" t="s">
        <v>72</v>
      </c>
      <c r="D19" s="24">
        <v>23599</v>
      </c>
      <c r="E19" s="2" t="s">
        <v>252</v>
      </c>
      <c r="F19" s="2" t="s">
        <v>76</v>
      </c>
      <c r="G19" s="2" t="s">
        <v>77</v>
      </c>
      <c r="H19" s="2" t="s">
        <v>117</v>
      </c>
      <c r="I19" s="2" t="s">
        <v>94</v>
      </c>
      <c r="J19" s="2" t="s">
        <v>126</v>
      </c>
      <c r="K19" s="2" t="s">
        <v>176</v>
      </c>
      <c r="L19" s="16">
        <v>40887</v>
      </c>
      <c r="M19" s="2"/>
      <c r="N19" s="16">
        <v>41122</v>
      </c>
      <c r="O19" s="2">
        <v>2012</v>
      </c>
      <c r="P19" s="3"/>
      <c r="Q19" s="2"/>
      <c r="R19" s="2" t="s">
        <v>201</v>
      </c>
      <c r="S19" s="2" t="s">
        <v>203</v>
      </c>
      <c r="T19" s="16">
        <v>44012</v>
      </c>
      <c r="U19" s="37">
        <f t="shared" si="0"/>
        <v>7.9138888888888888</v>
      </c>
      <c r="V19" s="4">
        <v>32.618333333333332</v>
      </c>
      <c r="W19" s="2" t="s">
        <v>203</v>
      </c>
    </row>
    <row r="20" spans="1:23" s="1" customFormat="1" ht="12.75" x14ac:dyDescent="0.25">
      <c r="A20" s="2">
        <v>18</v>
      </c>
      <c r="B20" s="10" t="s">
        <v>40</v>
      </c>
      <c r="C20" s="2" t="s">
        <v>72</v>
      </c>
      <c r="D20" s="23">
        <v>28230</v>
      </c>
      <c r="E20" s="3" t="s">
        <v>248</v>
      </c>
      <c r="F20" s="2" t="s">
        <v>76</v>
      </c>
      <c r="G20" s="2" t="s">
        <v>77</v>
      </c>
      <c r="H20" s="2" t="s">
        <v>117</v>
      </c>
      <c r="I20" s="2" t="s">
        <v>96</v>
      </c>
      <c r="J20" s="2" t="s">
        <v>136</v>
      </c>
      <c r="K20" s="2" t="s">
        <v>177</v>
      </c>
      <c r="L20" s="16">
        <v>41097</v>
      </c>
      <c r="M20" s="16">
        <v>43132</v>
      </c>
      <c r="N20" s="16">
        <v>41676</v>
      </c>
      <c r="O20" s="2">
        <v>2014</v>
      </c>
      <c r="P20" s="3"/>
      <c r="Q20" s="2"/>
      <c r="R20" s="2" t="s">
        <v>201</v>
      </c>
      <c r="S20" s="2" t="s">
        <v>204</v>
      </c>
      <c r="T20" s="16">
        <v>44012</v>
      </c>
      <c r="U20" s="37">
        <f t="shared" si="0"/>
        <v>6.4</v>
      </c>
      <c r="V20" s="4">
        <v>16.5</v>
      </c>
      <c r="W20" s="2" t="s">
        <v>203</v>
      </c>
    </row>
    <row r="21" spans="1:23" s="1" customFormat="1" ht="12.75" x14ac:dyDescent="0.25">
      <c r="A21" s="2">
        <v>19</v>
      </c>
      <c r="B21" s="10" t="s">
        <v>41</v>
      </c>
      <c r="C21" s="2" t="s">
        <v>72</v>
      </c>
      <c r="D21" s="23">
        <v>26721</v>
      </c>
      <c r="E21" s="2" t="s">
        <v>234</v>
      </c>
      <c r="F21" s="2" t="s">
        <v>74</v>
      </c>
      <c r="G21" s="2" t="s">
        <v>77</v>
      </c>
      <c r="H21" s="2" t="s">
        <v>117</v>
      </c>
      <c r="I21" s="2" t="s">
        <v>97</v>
      </c>
      <c r="J21" s="2" t="s">
        <v>137</v>
      </c>
      <c r="K21" s="2" t="s">
        <v>178</v>
      </c>
      <c r="L21" s="16">
        <v>41843</v>
      </c>
      <c r="M21" s="2"/>
      <c r="N21" s="16">
        <v>42408</v>
      </c>
      <c r="O21" s="2">
        <v>2016</v>
      </c>
      <c r="P21" s="3"/>
      <c r="Q21" s="2"/>
      <c r="R21" s="2" t="s">
        <v>201</v>
      </c>
      <c r="S21" s="2" t="s">
        <v>203</v>
      </c>
      <c r="T21" s="16">
        <v>44012</v>
      </c>
      <c r="U21" s="37">
        <f t="shared" si="0"/>
        <v>4.3944444444444448</v>
      </c>
      <c r="V21" s="4">
        <v>18.75</v>
      </c>
      <c r="W21" s="2" t="s">
        <v>203</v>
      </c>
    </row>
    <row r="22" spans="1:23" s="1" customFormat="1" ht="12.75" x14ac:dyDescent="0.25">
      <c r="A22" s="2">
        <v>20</v>
      </c>
      <c r="B22" s="10" t="s">
        <v>42</v>
      </c>
      <c r="C22" s="2" t="s">
        <v>72</v>
      </c>
      <c r="D22" s="23">
        <v>27629</v>
      </c>
      <c r="E22" s="2" t="s">
        <v>247</v>
      </c>
      <c r="F22" s="2" t="s">
        <v>76</v>
      </c>
      <c r="G22" s="2" t="s">
        <v>77</v>
      </c>
      <c r="H22" s="2" t="s">
        <v>117</v>
      </c>
      <c r="I22" s="2" t="s">
        <v>96</v>
      </c>
      <c r="J22" s="2" t="s">
        <v>138</v>
      </c>
      <c r="K22" s="2" t="s">
        <v>177</v>
      </c>
      <c r="L22" s="16">
        <v>40733</v>
      </c>
      <c r="M22" s="2"/>
      <c r="N22" s="16">
        <v>42522</v>
      </c>
      <c r="O22" s="2">
        <v>2016</v>
      </c>
      <c r="P22" s="3"/>
      <c r="Q22" s="2"/>
      <c r="R22" s="2" t="s">
        <v>201</v>
      </c>
      <c r="S22" s="2" t="s">
        <v>203</v>
      </c>
      <c r="T22" s="16">
        <v>44012</v>
      </c>
      <c r="U22" s="37">
        <f t="shared" si="0"/>
        <v>4.0805555555555557</v>
      </c>
      <c r="V22" s="4">
        <v>16.916666666666668</v>
      </c>
      <c r="W22" s="2" t="s">
        <v>203</v>
      </c>
    </row>
    <row r="23" spans="1:23" s="1" customFormat="1" ht="12.75" x14ac:dyDescent="0.25">
      <c r="A23" s="2">
        <v>21</v>
      </c>
      <c r="B23" s="10" t="s">
        <v>43</v>
      </c>
      <c r="C23" s="2" t="s">
        <v>72</v>
      </c>
      <c r="D23" s="23">
        <v>28602</v>
      </c>
      <c r="E23" s="2" t="s">
        <v>233</v>
      </c>
      <c r="F23" s="2" t="s">
        <v>74</v>
      </c>
      <c r="G23" s="2" t="s">
        <v>77</v>
      </c>
      <c r="H23" s="2" t="s">
        <v>118</v>
      </c>
      <c r="I23" s="2" t="s">
        <v>85</v>
      </c>
      <c r="J23" s="2" t="s">
        <v>139</v>
      </c>
      <c r="K23" s="2" t="s">
        <v>179</v>
      </c>
      <c r="L23" s="16">
        <v>39675</v>
      </c>
      <c r="M23" s="2"/>
      <c r="N23" s="16">
        <v>42902</v>
      </c>
      <c r="O23" s="2">
        <v>2017</v>
      </c>
      <c r="P23" s="3"/>
      <c r="Q23" s="2"/>
      <c r="R23" s="2" t="s">
        <v>201</v>
      </c>
      <c r="S23" s="2" t="s">
        <v>203</v>
      </c>
      <c r="T23" s="16">
        <v>44012</v>
      </c>
      <c r="U23" s="37">
        <f t="shared" si="0"/>
        <v>3.0388888888888888</v>
      </c>
      <c r="V23" s="4">
        <v>12.799999999999999</v>
      </c>
      <c r="W23" s="2" t="s">
        <v>203</v>
      </c>
    </row>
    <row r="24" spans="1:23" s="1" customFormat="1" ht="12.75" x14ac:dyDescent="0.25">
      <c r="A24" s="2">
        <v>22</v>
      </c>
      <c r="B24" s="10" t="s">
        <v>44</v>
      </c>
      <c r="C24" s="2" t="s">
        <v>72</v>
      </c>
      <c r="D24" s="28">
        <v>25248</v>
      </c>
      <c r="E24" s="2" t="s">
        <v>231</v>
      </c>
      <c r="F24" s="2" t="s">
        <v>75</v>
      </c>
      <c r="G24" s="2" t="s">
        <v>77</v>
      </c>
      <c r="H24" s="2" t="s">
        <v>119</v>
      </c>
      <c r="I24" s="2" t="s">
        <v>98</v>
      </c>
      <c r="J24" s="2" t="s">
        <v>140</v>
      </c>
      <c r="K24" s="2" t="s">
        <v>180</v>
      </c>
      <c r="L24" s="16">
        <v>1994</v>
      </c>
      <c r="M24" s="2"/>
      <c r="N24" s="16">
        <v>43117</v>
      </c>
      <c r="O24" s="2">
        <v>2018</v>
      </c>
      <c r="P24" s="3"/>
      <c r="Q24" s="2"/>
      <c r="R24" s="2" t="s">
        <v>200</v>
      </c>
      <c r="S24" s="2" t="s">
        <v>203</v>
      </c>
      <c r="T24" s="16">
        <v>44012</v>
      </c>
      <c r="U24" s="37">
        <f t="shared" si="0"/>
        <v>2.4527777777777779</v>
      </c>
      <c r="V24" s="4">
        <v>20.416666666666668</v>
      </c>
      <c r="W24" s="2" t="s">
        <v>203</v>
      </c>
    </row>
    <row r="25" spans="1:23" s="1" customFormat="1" ht="12.75" x14ac:dyDescent="0.25">
      <c r="A25" s="2">
        <v>23</v>
      </c>
      <c r="B25" s="10" t="s">
        <v>45</v>
      </c>
      <c r="C25" s="2" t="s">
        <v>72</v>
      </c>
      <c r="D25" s="25">
        <v>28771</v>
      </c>
      <c r="E25" s="2" t="s">
        <v>232</v>
      </c>
      <c r="F25" s="2" t="s">
        <v>74</v>
      </c>
      <c r="G25" s="2" t="s">
        <v>77</v>
      </c>
      <c r="H25" s="2" t="s">
        <v>120</v>
      </c>
      <c r="I25" s="2" t="s">
        <v>99</v>
      </c>
      <c r="J25" s="2" t="s">
        <v>129</v>
      </c>
      <c r="K25" s="2" t="s">
        <v>165</v>
      </c>
      <c r="L25" s="16">
        <v>39944</v>
      </c>
      <c r="M25" s="2"/>
      <c r="N25" s="16" t="s">
        <v>196</v>
      </c>
      <c r="O25" s="2">
        <v>2019</v>
      </c>
      <c r="P25" s="3"/>
      <c r="Q25" s="2"/>
      <c r="R25" s="2" t="s">
        <v>201</v>
      </c>
      <c r="S25" s="2" t="s">
        <v>203</v>
      </c>
      <c r="T25" s="16">
        <v>44012</v>
      </c>
      <c r="U25" s="37">
        <f t="shared" si="0"/>
        <v>1.2277777777777779</v>
      </c>
      <c r="V25" s="4">
        <v>12.5</v>
      </c>
      <c r="W25" s="2" t="s">
        <v>203</v>
      </c>
    </row>
    <row r="26" spans="1:23" s="1" customFormat="1" ht="12.75" x14ac:dyDescent="0.25">
      <c r="A26" s="2">
        <v>24</v>
      </c>
      <c r="B26" s="10" t="s">
        <v>46</v>
      </c>
      <c r="C26" s="2" t="s">
        <v>72</v>
      </c>
      <c r="D26" s="23">
        <v>26415</v>
      </c>
      <c r="E26" s="2" t="s">
        <v>221</v>
      </c>
      <c r="F26" s="2" t="s">
        <v>76</v>
      </c>
      <c r="G26" s="2" t="s">
        <v>78</v>
      </c>
      <c r="H26" s="2" t="s">
        <v>120</v>
      </c>
      <c r="I26" s="2" t="s">
        <v>100</v>
      </c>
      <c r="J26" s="2" t="s">
        <v>141</v>
      </c>
      <c r="K26" s="2" t="s">
        <v>181</v>
      </c>
      <c r="L26" s="16">
        <v>40992</v>
      </c>
      <c r="M26" s="2"/>
      <c r="N26" s="16">
        <v>43619</v>
      </c>
      <c r="O26" s="2">
        <v>2019</v>
      </c>
      <c r="P26" s="3"/>
      <c r="Q26" s="2"/>
      <c r="R26" s="2" t="s">
        <v>201</v>
      </c>
      <c r="S26" s="2" t="s">
        <v>203</v>
      </c>
      <c r="T26" s="16">
        <v>44012</v>
      </c>
      <c r="U26" s="37">
        <f t="shared" si="0"/>
        <v>1.075</v>
      </c>
      <c r="V26" s="4">
        <v>22.983333333333334</v>
      </c>
      <c r="W26" s="2" t="s">
        <v>203</v>
      </c>
    </row>
    <row r="27" spans="1:23" s="1" customFormat="1" ht="12.75" x14ac:dyDescent="0.25">
      <c r="A27" s="2">
        <v>25</v>
      </c>
      <c r="B27" s="10" t="s">
        <v>50</v>
      </c>
      <c r="C27" s="2" t="s">
        <v>73</v>
      </c>
      <c r="D27" s="24">
        <v>23632</v>
      </c>
      <c r="E27" s="2" t="s">
        <v>244</v>
      </c>
      <c r="F27" s="2" t="s">
        <v>74</v>
      </c>
      <c r="G27" s="2" t="s">
        <v>78</v>
      </c>
      <c r="H27" s="2" t="s">
        <v>119</v>
      </c>
      <c r="I27" s="2" t="s">
        <v>104</v>
      </c>
      <c r="J27" s="2" t="s">
        <v>143</v>
      </c>
      <c r="K27" s="2" t="s">
        <v>184</v>
      </c>
      <c r="L27" s="16">
        <v>32963</v>
      </c>
      <c r="M27" s="2"/>
      <c r="N27" s="16">
        <v>32945</v>
      </c>
      <c r="O27" s="2">
        <v>1990</v>
      </c>
      <c r="P27" s="3"/>
      <c r="Q27" s="2"/>
      <c r="R27" s="2" t="s">
        <v>201</v>
      </c>
      <c r="S27" s="2" t="s">
        <v>203</v>
      </c>
      <c r="T27" s="16">
        <v>44012</v>
      </c>
      <c r="U27" s="37">
        <f t="shared" si="0"/>
        <v>30.297222222222221</v>
      </c>
      <c r="V27" s="4">
        <v>30.8</v>
      </c>
      <c r="W27" s="2" t="s">
        <v>203</v>
      </c>
    </row>
    <row r="28" spans="1:23" s="1" customFormat="1" ht="12.75" x14ac:dyDescent="0.25">
      <c r="A28" s="2">
        <v>26</v>
      </c>
      <c r="B28" s="10" t="s">
        <v>51</v>
      </c>
      <c r="C28" s="2" t="s">
        <v>73</v>
      </c>
      <c r="D28" s="23">
        <v>30226</v>
      </c>
      <c r="E28" s="2" t="s">
        <v>250</v>
      </c>
      <c r="F28" s="2" t="s">
        <v>76</v>
      </c>
      <c r="G28" s="2" t="s">
        <v>77</v>
      </c>
      <c r="H28" s="2" t="s">
        <v>120</v>
      </c>
      <c r="I28" s="2" t="s">
        <v>95</v>
      </c>
      <c r="J28" s="2" t="s">
        <v>144</v>
      </c>
      <c r="K28" s="2" t="s">
        <v>185</v>
      </c>
      <c r="L28" s="16">
        <v>43577</v>
      </c>
      <c r="M28" s="2"/>
      <c r="N28" s="16">
        <v>39830</v>
      </c>
      <c r="O28" s="2">
        <v>2009</v>
      </c>
      <c r="P28" s="3"/>
      <c r="Q28" s="2"/>
      <c r="R28" s="2" t="s">
        <v>201</v>
      </c>
      <c r="S28" s="2" t="s">
        <v>203</v>
      </c>
      <c r="T28" s="16">
        <v>44012</v>
      </c>
      <c r="U28" s="37">
        <f t="shared" si="0"/>
        <v>11.452777777777778</v>
      </c>
      <c r="V28" s="4">
        <v>17.026666666666667</v>
      </c>
      <c r="W28" s="2" t="s">
        <v>203</v>
      </c>
    </row>
    <row r="29" spans="1:23" s="1" customFormat="1" ht="12.75" x14ac:dyDescent="0.25">
      <c r="A29" s="2">
        <v>27</v>
      </c>
      <c r="B29" s="10" t="s">
        <v>52</v>
      </c>
      <c r="C29" s="2" t="s">
        <v>73</v>
      </c>
      <c r="D29" s="23">
        <v>26820</v>
      </c>
      <c r="E29" s="2" t="s">
        <v>245</v>
      </c>
      <c r="F29" s="2" t="s">
        <v>75</v>
      </c>
      <c r="G29" s="2" t="s">
        <v>77</v>
      </c>
      <c r="H29" s="2" t="s">
        <v>117</v>
      </c>
      <c r="I29" s="2" t="s">
        <v>105</v>
      </c>
      <c r="J29" s="2" t="s">
        <v>145</v>
      </c>
      <c r="K29" s="2" t="s">
        <v>186</v>
      </c>
      <c r="L29" s="16">
        <v>44410</v>
      </c>
      <c r="M29" s="16">
        <v>43076</v>
      </c>
      <c r="N29" s="16">
        <v>38957</v>
      </c>
      <c r="O29" s="2">
        <v>2006</v>
      </c>
      <c r="P29" s="3"/>
      <c r="Q29" s="2"/>
      <c r="R29" s="2" t="s">
        <v>201</v>
      </c>
      <c r="S29" s="2" t="s">
        <v>203</v>
      </c>
      <c r="T29" s="16">
        <v>44012</v>
      </c>
      <c r="U29" s="37">
        <f t="shared" si="0"/>
        <v>13.838888888888889</v>
      </c>
      <c r="V29" s="4">
        <v>18.666666666666668</v>
      </c>
      <c r="W29" s="2" t="s">
        <v>203</v>
      </c>
    </row>
    <row r="30" spans="1:23" s="1" customFormat="1" ht="12.75" x14ac:dyDescent="0.25">
      <c r="A30" s="2">
        <v>28</v>
      </c>
      <c r="B30" s="10" t="s">
        <v>53</v>
      </c>
      <c r="C30" s="2" t="s">
        <v>73</v>
      </c>
      <c r="D30" s="28">
        <v>22630</v>
      </c>
      <c r="E30" s="2" t="s">
        <v>246</v>
      </c>
      <c r="F30" s="2" t="s">
        <v>75</v>
      </c>
      <c r="G30" s="2" t="s">
        <v>77</v>
      </c>
      <c r="H30" s="2" t="s">
        <v>119</v>
      </c>
      <c r="I30" s="2" t="s">
        <v>106</v>
      </c>
      <c r="J30" s="2" t="s">
        <v>126</v>
      </c>
      <c r="K30" s="2" t="s">
        <v>161</v>
      </c>
      <c r="L30" s="16">
        <v>34333</v>
      </c>
      <c r="M30" s="2"/>
      <c r="N30" s="16">
        <v>36853</v>
      </c>
      <c r="O30" s="2">
        <v>2000</v>
      </c>
      <c r="P30" s="3"/>
      <c r="Q30" s="2"/>
      <c r="R30" s="2" t="s">
        <v>201</v>
      </c>
      <c r="S30" s="2" t="s">
        <v>203</v>
      </c>
      <c r="T30" s="16">
        <v>44012</v>
      </c>
      <c r="U30" s="37">
        <f t="shared" si="0"/>
        <v>19.602777777777778</v>
      </c>
      <c r="V30" s="4">
        <v>24.266666666666666</v>
      </c>
      <c r="W30" s="2" t="s">
        <v>203</v>
      </c>
    </row>
    <row r="31" spans="1:23" s="1" customFormat="1" ht="12.75" x14ac:dyDescent="0.25">
      <c r="A31" s="2">
        <v>29</v>
      </c>
      <c r="B31" s="10" t="s">
        <v>54</v>
      </c>
      <c r="C31" s="2" t="s">
        <v>73</v>
      </c>
      <c r="D31" s="23">
        <v>28772</v>
      </c>
      <c r="E31" s="3" t="s">
        <v>249</v>
      </c>
      <c r="F31" s="2" t="s">
        <v>76</v>
      </c>
      <c r="G31" s="2" t="s">
        <v>77</v>
      </c>
      <c r="H31" s="2" t="s">
        <v>119</v>
      </c>
      <c r="I31" s="2" t="s">
        <v>107</v>
      </c>
      <c r="J31" s="2" t="s">
        <v>146</v>
      </c>
      <c r="K31" s="2" t="s">
        <v>187</v>
      </c>
      <c r="L31" s="16">
        <v>39255</v>
      </c>
      <c r="M31" s="2"/>
      <c r="N31" s="16" t="s">
        <v>197</v>
      </c>
      <c r="O31" s="2">
        <v>2012</v>
      </c>
      <c r="P31" s="3"/>
      <c r="Q31" s="2"/>
      <c r="R31" s="2" t="s">
        <v>201</v>
      </c>
      <c r="S31" s="2" t="s">
        <v>203</v>
      </c>
      <c r="T31" s="16">
        <v>44012</v>
      </c>
      <c r="U31" s="37">
        <f t="shared" si="0"/>
        <v>8.1083333333333325</v>
      </c>
      <c r="V31" s="4">
        <v>15.916666666666666</v>
      </c>
      <c r="W31" s="2" t="s">
        <v>203</v>
      </c>
    </row>
    <row r="32" spans="1:23" s="1" customFormat="1" ht="12.75" x14ac:dyDescent="0.25">
      <c r="A32" s="2">
        <v>30</v>
      </c>
      <c r="B32" s="10" t="s">
        <v>55</v>
      </c>
      <c r="C32" s="2" t="s">
        <v>73</v>
      </c>
      <c r="D32" s="23">
        <v>23771</v>
      </c>
      <c r="E32" s="2" t="s">
        <v>230</v>
      </c>
      <c r="F32" s="2" t="s">
        <v>74</v>
      </c>
      <c r="G32" s="2" t="s">
        <v>77</v>
      </c>
      <c r="H32" s="2" t="s">
        <v>119</v>
      </c>
      <c r="I32" s="2" t="s">
        <v>108</v>
      </c>
      <c r="J32" s="2" t="s">
        <v>147</v>
      </c>
      <c r="K32" s="2" t="s">
        <v>188</v>
      </c>
      <c r="L32" s="16">
        <v>1993</v>
      </c>
      <c r="M32" s="2"/>
      <c r="N32" s="16">
        <v>38222</v>
      </c>
      <c r="O32" s="2">
        <v>2004</v>
      </c>
      <c r="P32" s="3"/>
      <c r="Q32" s="2"/>
      <c r="R32" s="2" t="s">
        <v>201</v>
      </c>
      <c r="S32" s="2" t="s">
        <v>203</v>
      </c>
      <c r="T32" s="16">
        <v>44012</v>
      </c>
      <c r="U32" s="37">
        <f t="shared" si="0"/>
        <v>15.852777777777778</v>
      </c>
      <c r="V32" s="4">
        <v>24.666666666666668</v>
      </c>
      <c r="W32" s="2" t="s">
        <v>203</v>
      </c>
    </row>
    <row r="33" spans="1:23" s="1" customFormat="1" ht="12.75" x14ac:dyDescent="0.25">
      <c r="A33" s="2">
        <v>31</v>
      </c>
      <c r="B33" s="10" t="s">
        <v>56</v>
      </c>
      <c r="C33" s="2" t="s">
        <v>73</v>
      </c>
      <c r="D33" s="24">
        <v>30546</v>
      </c>
      <c r="E33" s="2" t="s">
        <v>229</v>
      </c>
      <c r="F33" s="2" t="s">
        <v>74</v>
      </c>
      <c r="G33" s="2" t="s">
        <v>78</v>
      </c>
      <c r="H33" s="2" t="s">
        <v>122</v>
      </c>
      <c r="I33" s="2" t="s">
        <v>109</v>
      </c>
      <c r="J33" s="2" t="s">
        <v>148</v>
      </c>
      <c r="K33" s="2" t="s">
        <v>189</v>
      </c>
      <c r="L33" s="16">
        <v>39227</v>
      </c>
      <c r="M33" s="2"/>
      <c r="N33" s="16">
        <v>40185</v>
      </c>
      <c r="O33" s="2">
        <v>2010</v>
      </c>
      <c r="P33" s="3"/>
      <c r="Q33" s="2"/>
      <c r="R33" s="2" t="s">
        <v>201</v>
      </c>
      <c r="S33" s="2" t="s">
        <v>203</v>
      </c>
      <c r="T33" s="16">
        <v>44012</v>
      </c>
      <c r="U33" s="37">
        <f t="shared" si="0"/>
        <v>10.480555555555556</v>
      </c>
      <c r="V33" s="4">
        <v>14.299999999999999</v>
      </c>
      <c r="W33" s="2" t="s">
        <v>203</v>
      </c>
    </row>
    <row r="34" spans="1:23" s="1" customFormat="1" ht="12.75" x14ac:dyDescent="0.25">
      <c r="A34" s="2">
        <v>32</v>
      </c>
      <c r="B34" s="10" t="s">
        <v>57</v>
      </c>
      <c r="C34" s="2" t="s">
        <v>73</v>
      </c>
      <c r="D34" s="23">
        <v>29738</v>
      </c>
      <c r="E34" s="2" t="s">
        <v>228</v>
      </c>
      <c r="F34" s="2" t="s">
        <v>75</v>
      </c>
      <c r="G34" s="2" t="s">
        <v>78</v>
      </c>
      <c r="H34" s="2" t="s">
        <v>120</v>
      </c>
      <c r="I34" s="2" t="s">
        <v>110</v>
      </c>
      <c r="J34" s="2" t="s">
        <v>149</v>
      </c>
      <c r="K34" s="2" t="s">
        <v>190</v>
      </c>
      <c r="L34" s="16">
        <v>43734</v>
      </c>
      <c r="M34" s="2"/>
      <c r="N34" s="16" t="s">
        <v>198</v>
      </c>
      <c r="O34" s="2">
        <v>2016</v>
      </c>
      <c r="P34" s="3"/>
      <c r="Q34" s="2"/>
      <c r="R34" s="2" t="s">
        <v>201</v>
      </c>
      <c r="S34" s="2" t="s">
        <v>203</v>
      </c>
      <c r="T34" s="16">
        <v>44012</v>
      </c>
      <c r="U34" s="37">
        <f t="shared" si="0"/>
        <v>4.4305555555555554</v>
      </c>
      <c r="V34" s="4">
        <v>15.1</v>
      </c>
      <c r="W34" s="2" t="s">
        <v>203</v>
      </c>
    </row>
    <row r="35" spans="1:23" s="1" customFormat="1" ht="12.75" x14ac:dyDescent="0.25">
      <c r="A35" s="2">
        <v>33</v>
      </c>
      <c r="B35" s="10" t="s">
        <v>58</v>
      </c>
      <c r="C35" s="2" t="s">
        <v>73</v>
      </c>
      <c r="D35" s="23">
        <v>30388</v>
      </c>
      <c r="E35" s="2" t="s">
        <v>227</v>
      </c>
      <c r="F35" s="2" t="s">
        <v>75</v>
      </c>
      <c r="G35" s="2" t="s">
        <v>77</v>
      </c>
      <c r="H35" s="2" t="s">
        <v>120</v>
      </c>
      <c r="I35" s="2" t="s">
        <v>111</v>
      </c>
      <c r="J35" s="2" t="s">
        <v>150</v>
      </c>
      <c r="K35" s="2" t="s">
        <v>188</v>
      </c>
      <c r="L35" s="16">
        <v>42556</v>
      </c>
      <c r="M35" s="2"/>
      <c r="N35" s="16">
        <v>42405</v>
      </c>
      <c r="O35" s="2">
        <v>2016</v>
      </c>
      <c r="P35" s="3"/>
      <c r="Q35" s="2"/>
      <c r="R35" s="2" t="s">
        <v>201</v>
      </c>
      <c r="S35" s="2" t="s">
        <v>203</v>
      </c>
      <c r="T35" s="16">
        <v>44012</v>
      </c>
      <c r="U35" s="37">
        <f t="shared" si="0"/>
        <v>4.4027777777777777</v>
      </c>
      <c r="V35" s="4">
        <v>6.9000000000000012</v>
      </c>
      <c r="W35" s="2" t="s">
        <v>203</v>
      </c>
    </row>
    <row r="36" spans="1:23" s="1" customFormat="1" ht="12.75" x14ac:dyDescent="0.25">
      <c r="A36" s="2">
        <v>34</v>
      </c>
      <c r="B36" s="10" t="s">
        <v>59</v>
      </c>
      <c r="C36" s="2" t="s">
        <v>73</v>
      </c>
      <c r="D36" s="23">
        <v>29469</v>
      </c>
      <c r="E36" s="2" t="s">
        <v>226</v>
      </c>
      <c r="F36" s="2" t="s">
        <v>74</v>
      </c>
      <c r="G36" s="2" t="s">
        <v>78</v>
      </c>
      <c r="H36" s="2" t="s">
        <v>120</v>
      </c>
      <c r="I36" s="2" t="s">
        <v>105</v>
      </c>
      <c r="J36" s="2" t="s">
        <v>151</v>
      </c>
      <c r="K36" s="2" t="s">
        <v>186</v>
      </c>
      <c r="L36" s="16">
        <v>39479</v>
      </c>
      <c r="M36" s="2"/>
      <c r="N36" s="16" t="s">
        <v>199</v>
      </c>
      <c r="O36" s="2">
        <v>2017</v>
      </c>
      <c r="P36" s="3"/>
      <c r="Q36" s="2"/>
      <c r="R36" s="2" t="s">
        <v>201</v>
      </c>
      <c r="S36" s="2" t="s">
        <v>203</v>
      </c>
      <c r="T36" s="16">
        <v>44012</v>
      </c>
      <c r="U36" s="37">
        <f t="shared" si="0"/>
        <v>2.9166666666666665</v>
      </c>
      <c r="V36" s="4">
        <v>15.299999999999999</v>
      </c>
      <c r="W36" s="2" t="s">
        <v>203</v>
      </c>
    </row>
    <row r="37" spans="1:23" s="1" customFormat="1" ht="12.75" x14ac:dyDescent="0.25">
      <c r="A37" s="2">
        <v>35</v>
      </c>
      <c r="B37" s="10" t="s">
        <v>60</v>
      </c>
      <c r="C37" s="2" t="s">
        <v>73</v>
      </c>
      <c r="D37" s="23">
        <v>29052</v>
      </c>
      <c r="E37" s="2" t="s">
        <v>225</v>
      </c>
      <c r="F37" s="2" t="s">
        <v>74</v>
      </c>
      <c r="G37" s="2" t="s">
        <v>78</v>
      </c>
      <c r="H37" s="2" t="s">
        <v>120</v>
      </c>
      <c r="I37" s="2" t="s">
        <v>112</v>
      </c>
      <c r="J37" s="2" t="s">
        <v>129</v>
      </c>
      <c r="K37" s="2" t="s">
        <v>165</v>
      </c>
      <c r="L37" s="16">
        <v>43233</v>
      </c>
      <c r="M37" s="2"/>
      <c r="N37" s="16">
        <v>43419</v>
      </c>
      <c r="O37" s="2">
        <v>2018</v>
      </c>
      <c r="P37" s="3"/>
      <c r="Q37" s="2"/>
      <c r="R37" s="2" t="s">
        <v>201</v>
      </c>
      <c r="S37" s="2" t="s">
        <v>203</v>
      </c>
      <c r="T37" s="16">
        <v>44012</v>
      </c>
      <c r="U37" s="37">
        <f t="shared" si="0"/>
        <v>1.625</v>
      </c>
      <c r="V37" s="4">
        <v>11.616666666666667</v>
      </c>
      <c r="W37" s="2" t="s">
        <v>203</v>
      </c>
    </row>
    <row r="38" spans="1:23" s="1" customFormat="1" ht="12.75" x14ac:dyDescent="0.25">
      <c r="A38" s="2">
        <v>36</v>
      </c>
      <c r="B38" s="10" t="s">
        <v>61</v>
      </c>
      <c r="C38" s="2" t="s">
        <v>73</v>
      </c>
      <c r="D38" s="23">
        <v>28602</v>
      </c>
      <c r="E38" s="2" t="s">
        <v>251</v>
      </c>
      <c r="F38" s="2" t="s">
        <v>74</v>
      </c>
      <c r="G38" s="2" t="s">
        <v>78</v>
      </c>
      <c r="H38" s="2" t="s">
        <v>121</v>
      </c>
      <c r="I38" s="2" t="s">
        <v>113</v>
      </c>
      <c r="J38" s="2" t="s">
        <v>152</v>
      </c>
      <c r="K38" s="2" t="s">
        <v>191</v>
      </c>
      <c r="L38" s="16">
        <v>43266</v>
      </c>
      <c r="M38" s="2"/>
      <c r="N38" s="16">
        <v>43438</v>
      </c>
      <c r="O38" s="2">
        <v>2018</v>
      </c>
      <c r="P38" s="3"/>
      <c r="Q38" s="2"/>
      <c r="R38" s="2" t="s">
        <v>201</v>
      </c>
      <c r="S38" s="2" t="s">
        <v>203</v>
      </c>
      <c r="T38" s="16">
        <v>44012</v>
      </c>
      <c r="U38" s="37">
        <f t="shared" si="0"/>
        <v>1.5722222222222222</v>
      </c>
      <c r="V38" s="4">
        <v>7.1833333333333336</v>
      </c>
      <c r="W38" s="2" t="s">
        <v>203</v>
      </c>
    </row>
    <row r="39" spans="1:23" s="1" customFormat="1" ht="12.75" x14ac:dyDescent="0.25">
      <c r="A39" s="2">
        <v>37</v>
      </c>
      <c r="B39" s="10" t="s">
        <v>62</v>
      </c>
      <c r="C39" s="2" t="s">
        <v>73</v>
      </c>
      <c r="D39" s="23">
        <v>32551</v>
      </c>
      <c r="E39" s="2" t="s">
        <v>224</v>
      </c>
      <c r="F39" s="2" t="s">
        <v>75</v>
      </c>
      <c r="G39" s="2" t="s">
        <v>77</v>
      </c>
      <c r="H39" s="2" t="s">
        <v>121</v>
      </c>
      <c r="I39" s="2" t="s">
        <v>114</v>
      </c>
      <c r="J39" s="2" t="s">
        <v>153</v>
      </c>
      <c r="K39" s="2" t="s">
        <v>192</v>
      </c>
      <c r="L39" s="16">
        <v>42819</v>
      </c>
      <c r="M39" s="2"/>
      <c r="N39" s="16">
        <v>43481</v>
      </c>
      <c r="O39" s="2">
        <v>2019</v>
      </c>
      <c r="P39" s="3"/>
      <c r="Q39" s="2"/>
      <c r="R39" s="2" t="s">
        <v>201</v>
      </c>
      <c r="S39" s="2" t="s">
        <v>203</v>
      </c>
      <c r="T39" s="16">
        <v>44012</v>
      </c>
      <c r="U39" s="37">
        <f t="shared" si="0"/>
        <v>1.4555555555555555</v>
      </c>
      <c r="V39" s="4">
        <v>4.916666666666667</v>
      </c>
      <c r="W39" s="2" t="s">
        <v>203</v>
      </c>
    </row>
    <row r="40" spans="1:23" s="1" customFormat="1" ht="12.75" x14ac:dyDescent="0.25">
      <c r="A40" s="2">
        <v>38</v>
      </c>
      <c r="B40" s="10" t="s">
        <v>65</v>
      </c>
      <c r="C40" s="2" t="s">
        <v>73</v>
      </c>
      <c r="D40" s="23">
        <v>25746</v>
      </c>
      <c r="E40" s="2" t="s">
        <v>223</v>
      </c>
      <c r="F40" s="2" t="s">
        <v>74</v>
      </c>
      <c r="G40" s="2" t="s">
        <v>78</v>
      </c>
      <c r="H40" s="2" t="s">
        <v>117</v>
      </c>
      <c r="I40" s="2" t="s">
        <v>82</v>
      </c>
      <c r="J40" s="2" t="s">
        <v>156</v>
      </c>
      <c r="K40" s="2" t="s">
        <v>161</v>
      </c>
      <c r="L40" s="16">
        <v>45256</v>
      </c>
      <c r="M40" s="2"/>
      <c r="N40" s="16">
        <v>40255</v>
      </c>
      <c r="O40" s="2">
        <v>2010</v>
      </c>
      <c r="P40" s="3">
        <v>43938</v>
      </c>
      <c r="Q40" s="2">
        <v>2020</v>
      </c>
      <c r="R40" s="2" t="s">
        <v>201</v>
      </c>
      <c r="S40" s="2" t="s">
        <v>203</v>
      </c>
      <c r="T40" s="3">
        <v>43938</v>
      </c>
      <c r="U40" s="37">
        <f t="shared" si="0"/>
        <v>10.080555555555556</v>
      </c>
      <c r="V40" s="4">
        <v>19.666666666666668</v>
      </c>
      <c r="W40" s="2">
        <v>2020</v>
      </c>
    </row>
    <row r="41" spans="1:23" s="1" customFormat="1" ht="12.75" x14ac:dyDescent="0.25">
      <c r="A41" s="2">
        <v>39</v>
      </c>
      <c r="B41" s="10" t="s">
        <v>66</v>
      </c>
      <c r="C41" s="2" t="s">
        <v>73</v>
      </c>
      <c r="D41" s="23">
        <v>28971</v>
      </c>
      <c r="E41" s="2" t="s">
        <v>222</v>
      </c>
      <c r="F41" s="2" t="s">
        <v>76</v>
      </c>
      <c r="G41" s="2" t="s">
        <v>77</v>
      </c>
      <c r="H41" s="2" t="s">
        <v>119</v>
      </c>
      <c r="I41" s="2" t="s">
        <v>116</v>
      </c>
      <c r="J41" s="2" t="s">
        <v>157</v>
      </c>
      <c r="K41" s="2" t="s">
        <v>194</v>
      </c>
      <c r="L41" s="16">
        <v>39348</v>
      </c>
      <c r="M41" s="2"/>
      <c r="N41" s="16">
        <v>43612</v>
      </c>
      <c r="O41" s="2">
        <v>2019</v>
      </c>
      <c r="P41" s="3">
        <v>43977</v>
      </c>
      <c r="Q41" s="2">
        <v>2020</v>
      </c>
      <c r="R41" s="2" t="s">
        <v>201</v>
      </c>
      <c r="S41" s="2" t="s">
        <v>203</v>
      </c>
      <c r="T41" s="3">
        <v>43977</v>
      </c>
      <c r="U41" s="37">
        <f t="shared" si="0"/>
        <v>0.99722222222222223</v>
      </c>
      <c r="V41" s="4">
        <v>14</v>
      </c>
      <c r="W41" s="2">
        <v>2020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2024-25</vt:lpstr>
      <vt:lpstr>2023-24</vt:lpstr>
      <vt:lpstr>2022-23</vt:lpstr>
      <vt:lpstr>2021-22</vt:lpstr>
      <vt:lpstr>2020-2021</vt:lpstr>
      <vt:lpstr>2019-2020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Tarun Kumar Gupta</cp:lastModifiedBy>
  <cp:lastPrinted>2025-06-24T07:09:11Z</cp:lastPrinted>
  <dcterms:created xsi:type="dcterms:W3CDTF">2022-09-30T11:49:52Z</dcterms:created>
  <dcterms:modified xsi:type="dcterms:W3CDTF">2025-06-25T09:11:21Z</dcterms:modified>
</cp:coreProperties>
</file>